
<file path=[Content_Types].xml><?xml version="1.0" encoding="utf-8"?>
<Types xmlns="http://schemas.openxmlformats.org/package/2006/content-type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comments1.xml" ContentType="application/vnd.openxmlformats-officedocument.spreadsheetml.comments+xml"/>
  <Override PartName="/xl/tables/table2.xml" ContentType="application/vnd.openxmlformats-officedocument.spreadsheetml.table+xml"/>
  <Override PartName="/xl/drawings/drawing1.xml" ContentType="application/vnd.openxmlformats-officedocument.drawing+xml"/>
  <Override PartName="/xl/charts/chart1.xml" ContentType="application/vnd.openxmlformats-officedocument.drawingml.chart+xml"/>
  <Override PartName="/xl/charts/chart2.xml" ContentType="application/vnd.openxmlformats-officedocument.drawingml.chart+xml"/>
  <Override PartName="/xl/charts/chart3.xml" ContentType="application/vnd.openxmlformats-officedocument.drawingml.chart+xml"/>
  <Override PartName="/xl/charts/chart4.xml" ContentType="application/vnd.openxmlformats-officedocument.drawingml.chart+xml"/>
  <Override PartName="/xl/charts/chart5.xml" ContentType="application/vnd.openxmlformats-officedocument.drawingml.chart+xml"/>
  <Override PartName="/xl/charts/chart6.xml" ContentType="application/vnd.openxmlformats-officedocument.drawingml.chart+xml"/>
  <Override PartName="/xl/charts/chart7.xml" ContentType="application/vnd.openxmlformats-officedocument.drawingml.chart+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defaultThemeVersion="202300"/>
  <mc:AlternateContent xmlns:mc="http://schemas.openxmlformats.org/markup-compatibility/2006">
    <mc:Choice Requires="x15">
      <x15ac:absPath xmlns:x15ac="http://schemas.microsoft.com/office/spreadsheetml/2010/11/ac" url="C:\Users\twyfo\Downloads\"/>
    </mc:Choice>
  </mc:AlternateContent>
  <xr:revisionPtr revIDLastSave="0" documentId="13_ncr:9_{C267BE3D-FDC8-4CAF-A6F3-3658DE2F39A7}" xr6:coauthVersionLast="47" xr6:coauthVersionMax="47" xr10:uidLastSave="{00000000-0000-0000-0000-000000000000}"/>
  <bookViews>
    <workbookView xWindow="-120" yWindow="-120" windowWidth="29040" windowHeight="15720" activeTab="3" xr2:uid="{45496369-8811-4A5A-992E-35C51750BD4A}"/>
  </bookViews>
  <sheets>
    <sheet name="Landing Page" sheetId="1" r:id="rId1"/>
    <sheet name="Online Form Responses 1" sheetId="2" state="hidden" r:id="rId2"/>
    <sheet name="Paper Form Responses 1" sheetId="3" state="hidden" r:id="rId3"/>
    <sheet name="Responses Table" sheetId="4" r:id="rId4"/>
    <sheet name="Data Formatting" sheetId="5" state="hidden" r:id="rId5"/>
    <sheet name="Quantitative Charts" sheetId="6" r:id="rId6"/>
  </sheets>
  <calcPr calcId="191029" iterateDelta="1E-4"/>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L104" i="4" l="1"/>
  <c r="K104" i="4"/>
  <c r="I104" i="4"/>
  <c r="H104" i="4"/>
  <c r="G104" i="4"/>
  <c r="F104" i="4"/>
  <c r="E104" i="4"/>
  <c r="D104" i="4"/>
  <c r="C104" i="4"/>
  <c r="L103" i="4"/>
  <c r="J103" i="4"/>
  <c r="I103" i="4"/>
  <c r="H103" i="4"/>
  <c r="G103" i="4"/>
  <c r="F103" i="4"/>
  <c r="E103" i="4"/>
  <c r="D103" i="4"/>
  <c r="C103" i="4"/>
  <c r="L102" i="4"/>
  <c r="I102" i="4"/>
  <c r="H102" i="4"/>
  <c r="G102" i="4"/>
  <c r="F102" i="4"/>
  <c r="E102" i="4"/>
  <c r="D102" i="4"/>
  <c r="C102" i="4"/>
  <c r="M101" i="4"/>
  <c r="L101" i="4"/>
  <c r="I101" i="4"/>
  <c r="H101" i="4"/>
  <c r="G101" i="4"/>
  <c r="F101" i="4"/>
  <c r="E101" i="4"/>
  <c r="D101" i="4"/>
  <c r="C101" i="4"/>
  <c r="L100" i="4"/>
  <c r="I100" i="4"/>
  <c r="H100" i="4"/>
  <c r="G100" i="4"/>
  <c r="F100" i="4"/>
  <c r="E100" i="4"/>
  <c r="D100" i="4"/>
  <c r="C100" i="4"/>
  <c r="L99" i="4"/>
  <c r="H99" i="4"/>
  <c r="G99" i="4"/>
  <c r="F99" i="4"/>
  <c r="E99" i="4"/>
  <c r="D99" i="4"/>
  <c r="C99" i="4"/>
  <c r="L98" i="4"/>
  <c r="I98" i="4"/>
  <c r="H98" i="4"/>
  <c r="G98" i="4"/>
  <c r="F98" i="4"/>
  <c r="E98" i="4"/>
  <c r="D98" i="4"/>
  <c r="C98" i="4"/>
  <c r="L97" i="4"/>
  <c r="J97" i="4"/>
  <c r="I97" i="4"/>
  <c r="H97" i="4"/>
  <c r="G97" i="4"/>
  <c r="F97" i="4"/>
  <c r="E97" i="4"/>
  <c r="D97" i="4"/>
  <c r="C97" i="4"/>
  <c r="L96" i="4"/>
  <c r="K96" i="4"/>
  <c r="H96" i="4"/>
  <c r="G96" i="4"/>
  <c r="F96" i="4"/>
  <c r="E96" i="4"/>
  <c r="D96" i="4"/>
  <c r="C96" i="4"/>
  <c r="L95" i="4"/>
  <c r="I95" i="4"/>
  <c r="H95" i="4"/>
  <c r="G95" i="4"/>
  <c r="F95" i="4"/>
  <c r="E95" i="4"/>
  <c r="D95" i="4"/>
  <c r="C95" i="4"/>
  <c r="L94" i="4"/>
  <c r="I94" i="4"/>
  <c r="H94" i="4"/>
  <c r="G94" i="4"/>
  <c r="F94" i="4"/>
  <c r="E94" i="4"/>
  <c r="D94" i="4"/>
  <c r="C94" i="4"/>
  <c r="L93" i="4"/>
  <c r="I93" i="4"/>
  <c r="H93" i="4"/>
  <c r="G93" i="4"/>
  <c r="F93" i="4"/>
  <c r="E93" i="4"/>
  <c r="D93" i="4"/>
  <c r="C93" i="4"/>
  <c r="L92" i="4"/>
  <c r="I92" i="4"/>
  <c r="H92" i="4"/>
  <c r="G92" i="4"/>
  <c r="F92" i="4"/>
  <c r="E92" i="4"/>
  <c r="D92" i="4"/>
  <c r="C92" i="4"/>
  <c r="L91" i="4"/>
  <c r="J91" i="4"/>
  <c r="I91" i="4"/>
  <c r="H91" i="4"/>
  <c r="G91" i="4"/>
  <c r="F91" i="4"/>
  <c r="E91" i="4"/>
  <c r="D91" i="4"/>
  <c r="C91" i="4"/>
  <c r="L90" i="4"/>
  <c r="H90" i="4"/>
  <c r="G90" i="4"/>
  <c r="F90" i="4"/>
  <c r="E90" i="4"/>
  <c r="D90" i="4"/>
  <c r="C90" i="4"/>
  <c r="L89" i="4"/>
  <c r="I89" i="4"/>
  <c r="H89" i="4"/>
  <c r="G89" i="4"/>
  <c r="F89" i="4"/>
  <c r="E89" i="4"/>
  <c r="D89" i="4"/>
  <c r="C89" i="4"/>
  <c r="L88" i="4"/>
  <c r="H88" i="4"/>
  <c r="G88" i="4"/>
  <c r="F88" i="4"/>
  <c r="E88" i="4"/>
  <c r="D88" i="4"/>
  <c r="C88" i="4"/>
  <c r="L87" i="4"/>
  <c r="H87" i="4"/>
  <c r="G87" i="4"/>
  <c r="F87" i="4"/>
  <c r="E87" i="4"/>
  <c r="D87" i="4"/>
  <c r="C87" i="4"/>
  <c r="L86" i="4"/>
  <c r="H86" i="4"/>
  <c r="G86" i="4"/>
  <c r="F86" i="4"/>
  <c r="E86" i="4"/>
  <c r="D86" i="4"/>
  <c r="C86" i="4"/>
  <c r="L85" i="4"/>
  <c r="H85" i="4"/>
  <c r="G85" i="4"/>
  <c r="F85" i="4"/>
  <c r="E85" i="4"/>
  <c r="D85" i="4"/>
  <c r="C85" i="4"/>
  <c r="L84" i="4"/>
  <c r="J84" i="4"/>
  <c r="I84" i="4"/>
  <c r="H84" i="4"/>
  <c r="G84" i="4"/>
  <c r="F84" i="4"/>
  <c r="E84" i="4"/>
  <c r="D84" i="4"/>
  <c r="C84" i="4"/>
  <c r="L83" i="4"/>
  <c r="J83" i="4"/>
  <c r="I83" i="4"/>
  <c r="H83" i="4"/>
  <c r="G83" i="4"/>
  <c r="F83" i="4"/>
  <c r="E83" i="4"/>
  <c r="D83" i="4"/>
  <c r="C83" i="4"/>
  <c r="L82" i="4"/>
  <c r="H82" i="4"/>
  <c r="G82" i="4"/>
  <c r="F82" i="4"/>
  <c r="E82" i="4"/>
  <c r="D82" i="4"/>
  <c r="C82" i="4"/>
  <c r="L81" i="4"/>
  <c r="K81" i="4"/>
  <c r="J81" i="4"/>
  <c r="I81" i="4"/>
  <c r="H81" i="4"/>
  <c r="G81" i="4"/>
  <c r="F81" i="4"/>
  <c r="E81" i="4"/>
  <c r="D81" i="4"/>
  <c r="C81" i="4"/>
  <c r="L80" i="4"/>
  <c r="I80" i="4"/>
  <c r="H80" i="4"/>
  <c r="G80" i="4"/>
  <c r="F80" i="4"/>
  <c r="E80" i="4"/>
  <c r="D80" i="4"/>
  <c r="C80" i="4"/>
  <c r="L79" i="4"/>
  <c r="H79" i="4"/>
  <c r="G79" i="4"/>
  <c r="F79" i="4"/>
  <c r="E79" i="4"/>
  <c r="D79" i="4"/>
  <c r="C79" i="4"/>
  <c r="L78" i="4"/>
  <c r="I78" i="4"/>
  <c r="H78" i="4"/>
  <c r="G78" i="4"/>
  <c r="F78" i="4"/>
  <c r="E78" i="4"/>
  <c r="D78" i="4"/>
  <c r="C78" i="4"/>
  <c r="L77" i="4"/>
  <c r="H77" i="4"/>
  <c r="G77" i="4"/>
  <c r="F77" i="4"/>
  <c r="E77" i="4"/>
  <c r="D77" i="4"/>
  <c r="C77" i="4"/>
  <c r="L69" i="4"/>
  <c r="K69" i="4"/>
  <c r="J69" i="4"/>
  <c r="I69" i="4"/>
  <c r="H69" i="4"/>
  <c r="G69" i="4"/>
  <c r="F69" i="4"/>
  <c r="E69" i="4"/>
  <c r="D69" i="4"/>
  <c r="C69" i="4"/>
  <c r="B69" i="4"/>
  <c r="L68" i="4"/>
  <c r="I68" i="4"/>
  <c r="H68" i="4"/>
  <c r="G68" i="4"/>
  <c r="F68" i="4"/>
  <c r="E68" i="4"/>
  <c r="D68" i="4"/>
  <c r="C68" i="4"/>
  <c r="B68" i="4"/>
  <c r="L67" i="4"/>
  <c r="I67" i="4"/>
  <c r="H67" i="4"/>
  <c r="G67" i="4"/>
  <c r="F67" i="4"/>
  <c r="E67" i="4"/>
  <c r="D67" i="4"/>
  <c r="C67" i="4"/>
  <c r="B67" i="4"/>
  <c r="L66" i="4"/>
  <c r="I66" i="4"/>
  <c r="H66" i="4"/>
  <c r="G66" i="4"/>
  <c r="F66" i="4"/>
  <c r="E66" i="4"/>
  <c r="D66" i="4"/>
  <c r="C66" i="4"/>
  <c r="B66" i="4"/>
  <c r="L65" i="4"/>
  <c r="J65" i="4"/>
  <c r="I65" i="4"/>
  <c r="H65" i="4"/>
  <c r="G65" i="4"/>
  <c r="F65" i="4"/>
  <c r="E65" i="4"/>
  <c r="D65" i="4"/>
  <c r="C65" i="4"/>
  <c r="B65" i="4"/>
  <c r="L64" i="4"/>
  <c r="I64" i="4"/>
  <c r="H64" i="4"/>
  <c r="G64" i="4"/>
  <c r="F64" i="4"/>
  <c r="E64" i="4"/>
  <c r="D64" i="4"/>
  <c r="C64" i="4"/>
  <c r="B64" i="4"/>
  <c r="L63" i="4"/>
  <c r="J63" i="4"/>
  <c r="I63" i="4"/>
  <c r="H63" i="4"/>
  <c r="G63" i="4"/>
  <c r="F63" i="4"/>
  <c r="E63" i="4"/>
  <c r="D63" i="4"/>
  <c r="C63" i="4"/>
  <c r="B63" i="4"/>
  <c r="L62" i="4"/>
  <c r="H62" i="4"/>
  <c r="G62" i="4"/>
  <c r="F62" i="4"/>
  <c r="E62" i="4"/>
  <c r="D62" i="4"/>
  <c r="C62" i="4"/>
  <c r="B62" i="4"/>
  <c r="L61" i="4"/>
  <c r="K61" i="4"/>
  <c r="J61" i="4"/>
  <c r="I61" i="4"/>
  <c r="H61" i="4"/>
  <c r="G61" i="4"/>
  <c r="F61" i="4"/>
  <c r="E61" i="4"/>
  <c r="D61" i="4"/>
  <c r="C61" i="4"/>
  <c r="B61" i="4"/>
  <c r="L60" i="4"/>
  <c r="H60" i="4"/>
  <c r="G60" i="4"/>
  <c r="F60" i="4"/>
  <c r="E60" i="4"/>
  <c r="D60" i="4"/>
  <c r="C60" i="4"/>
  <c r="B60" i="4"/>
  <c r="L59" i="4"/>
  <c r="H59" i="4"/>
  <c r="G59" i="4"/>
  <c r="F59" i="4"/>
  <c r="E59" i="4"/>
  <c r="D59" i="4"/>
  <c r="C59" i="4"/>
  <c r="B59" i="4"/>
  <c r="L58" i="4"/>
  <c r="I58" i="4"/>
  <c r="H58" i="4"/>
  <c r="G58" i="4"/>
  <c r="F58" i="4"/>
  <c r="E58" i="4"/>
  <c r="D58" i="4"/>
  <c r="C58" i="4"/>
  <c r="B58" i="4"/>
  <c r="L57" i="4"/>
  <c r="I57" i="4"/>
  <c r="H57" i="4"/>
  <c r="G57" i="4"/>
  <c r="F57" i="4"/>
  <c r="E57" i="4"/>
  <c r="D57" i="4"/>
  <c r="C57" i="4"/>
  <c r="B57" i="4"/>
  <c r="L56" i="4"/>
  <c r="I56" i="4"/>
  <c r="H56" i="4"/>
  <c r="G56" i="4"/>
  <c r="F56" i="4"/>
  <c r="E56" i="4"/>
  <c r="D56" i="4"/>
  <c r="C56" i="4"/>
  <c r="B56" i="4"/>
  <c r="L55" i="4"/>
  <c r="I55" i="4"/>
  <c r="H55" i="4"/>
  <c r="G55" i="4"/>
  <c r="F55" i="4"/>
  <c r="E55" i="4"/>
  <c r="D55" i="4"/>
  <c r="C55" i="4"/>
  <c r="B55" i="4"/>
  <c r="L54" i="4"/>
  <c r="H54" i="4"/>
  <c r="G54" i="4"/>
  <c r="F54" i="4"/>
  <c r="E54" i="4"/>
  <c r="D54" i="4"/>
  <c r="C54" i="4"/>
  <c r="B54" i="4"/>
  <c r="L53" i="4"/>
  <c r="K53" i="4"/>
  <c r="J53" i="4"/>
  <c r="I53" i="4"/>
  <c r="H53" i="4"/>
  <c r="G53" i="4"/>
  <c r="F53" i="4"/>
  <c r="E53" i="4"/>
  <c r="D53" i="4"/>
  <c r="C53" i="4"/>
  <c r="B53" i="4"/>
  <c r="L52" i="4"/>
  <c r="H52" i="4"/>
  <c r="G52" i="4"/>
  <c r="F52" i="4"/>
  <c r="E52" i="4"/>
  <c r="D52" i="4"/>
  <c r="C52" i="4"/>
  <c r="B52" i="4"/>
  <c r="L51" i="4"/>
  <c r="I51" i="4"/>
  <c r="H51" i="4"/>
  <c r="G51" i="4"/>
  <c r="F51" i="4"/>
  <c r="E51" i="4"/>
  <c r="D51" i="4"/>
  <c r="C51" i="4"/>
  <c r="B51" i="4"/>
  <c r="L50" i="4"/>
  <c r="H50" i="4"/>
  <c r="G50" i="4"/>
  <c r="F50" i="4"/>
  <c r="E50" i="4"/>
  <c r="D50" i="4"/>
  <c r="C50" i="4"/>
  <c r="B50" i="4"/>
  <c r="L49" i="4"/>
  <c r="I49" i="4"/>
  <c r="H49" i="4"/>
  <c r="G49" i="4"/>
  <c r="F49" i="4"/>
  <c r="E49" i="4"/>
  <c r="D49" i="4"/>
  <c r="C49" i="4"/>
  <c r="B49" i="4"/>
  <c r="L48" i="4"/>
  <c r="I48" i="4"/>
  <c r="H48" i="4"/>
  <c r="G48" i="4"/>
  <c r="F48" i="4"/>
  <c r="E48" i="4"/>
  <c r="D48" i="4"/>
  <c r="C48" i="4"/>
  <c r="B48" i="4"/>
  <c r="L47" i="4"/>
  <c r="H47" i="4"/>
  <c r="G47" i="4"/>
  <c r="F47" i="4"/>
  <c r="E47" i="4"/>
  <c r="D47" i="4"/>
  <c r="C47" i="4"/>
  <c r="B47" i="4"/>
  <c r="L46" i="4"/>
  <c r="J46" i="4"/>
  <c r="I46" i="4"/>
  <c r="H46" i="4"/>
  <c r="G46" i="4"/>
  <c r="F46" i="4"/>
  <c r="E46" i="4"/>
  <c r="D46" i="4"/>
  <c r="C46" i="4"/>
  <c r="B46" i="4"/>
  <c r="L45" i="4"/>
  <c r="H45" i="4"/>
  <c r="G45" i="4"/>
  <c r="F45" i="4"/>
  <c r="E45" i="4"/>
  <c r="D45" i="4"/>
  <c r="C45" i="4"/>
  <c r="B45" i="4"/>
  <c r="L44" i="4"/>
  <c r="J44" i="4"/>
  <c r="I44" i="4"/>
  <c r="H44" i="4"/>
  <c r="G44" i="4"/>
  <c r="F44" i="4"/>
  <c r="E44" i="4"/>
  <c r="D44" i="4"/>
  <c r="C44" i="4"/>
  <c r="B44" i="4"/>
  <c r="L43" i="4"/>
  <c r="H43" i="4"/>
  <c r="G43" i="4"/>
  <c r="F43" i="4"/>
  <c r="E43" i="4"/>
  <c r="D43" i="4"/>
  <c r="C43" i="4"/>
  <c r="B43" i="4"/>
  <c r="L42" i="4"/>
  <c r="I42" i="4"/>
  <c r="H42" i="4"/>
  <c r="G42" i="4"/>
  <c r="F42" i="4"/>
  <c r="E42" i="4"/>
  <c r="D42" i="4"/>
  <c r="C42" i="4"/>
  <c r="B42" i="4"/>
  <c r="L41" i="4"/>
  <c r="H41" i="4"/>
  <c r="G41" i="4"/>
  <c r="F41" i="4"/>
  <c r="E41" i="4"/>
  <c r="D41" i="4"/>
  <c r="C41" i="4"/>
  <c r="B41" i="4"/>
  <c r="L40" i="4"/>
  <c r="K40" i="4"/>
  <c r="J40" i="4"/>
  <c r="I40" i="4"/>
  <c r="H40" i="4"/>
  <c r="G40" i="4"/>
  <c r="F40" i="4"/>
  <c r="E40" i="4"/>
  <c r="D40" i="4"/>
  <c r="C40" i="4"/>
  <c r="B40" i="4"/>
  <c r="L39" i="4"/>
  <c r="K39" i="4"/>
  <c r="I39" i="4"/>
  <c r="H39" i="4"/>
  <c r="G39" i="4"/>
  <c r="F39" i="4"/>
  <c r="E39" i="4"/>
  <c r="D39" i="4"/>
  <c r="C39" i="4"/>
  <c r="B39" i="4"/>
  <c r="L38" i="4"/>
  <c r="H38" i="4"/>
  <c r="G38" i="4"/>
  <c r="F38" i="4"/>
  <c r="E38" i="4"/>
  <c r="D38" i="4"/>
  <c r="C38" i="4"/>
  <c r="B38" i="4"/>
  <c r="L37" i="4"/>
  <c r="H37" i="4"/>
  <c r="G37" i="4"/>
  <c r="F37" i="4"/>
  <c r="E37" i="4"/>
  <c r="D37" i="4"/>
  <c r="C37" i="4"/>
  <c r="B37" i="4"/>
  <c r="L36" i="4"/>
  <c r="I36" i="4"/>
  <c r="H36" i="4"/>
  <c r="G36" i="4"/>
  <c r="F36" i="4"/>
  <c r="E36" i="4"/>
  <c r="D36" i="4"/>
  <c r="C36" i="4"/>
  <c r="B36" i="4"/>
  <c r="L35" i="4"/>
  <c r="I35" i="4"/>
  <c r="H35" i="4"/>
  <c r="G35" i="4"/>
  <c r="F35" i="4"/>
  <c r="E35" i="4"/>
  <c r="D35" i="4"/>
  <c r="C35" i="4"/>
  <c r="B35" i="4"/>
  <c r="L34" i="4"/>
  <c r="I34" i="4"/>
  <c r="H34" i="4"/>
  <c r="G34" i="4"/>
  <c r="F34" i="4"/>
  <c r="E34" i="4"/>
  <c r="D34" i="4"/>
  <c r="C34" i="4"/>
  <c r="B34" i="4"/>
  <c r="L33" i="4"/>
  <c r="H33" i="4"/>
  <c r="G33" i="4"/>
  <c r="F33" i="4"/>
  <c r="E33" i="4"/>
  <c r="D33" i="4"/>
  <c r="C33" i="4"/>
  <c r="B33" i="4"/>
  <c r="L32" i="4"/>
  <c r="H32" i="4"/>
  <c r="G32" i="4"/>
  <c r="F32" i="4"/>
  <c r="E32" i="4"/>
  <c r="D32" i="4"/>
  <c r="C32" i="4"/>
  <c r="B32" i="4"/>
  <c r="L31" i="4"/>
  <c r="K31" i="4"/>
  <c r="I31" i="4"/>
  <c r="H31" i="4"/>
  <c r="G31" i="4"/>
  <c r="F31" i="4"/>
  <c r="E31" i="4"/>
  <c r="D31" i="4"/>
  <c r="C31" i="4"/>
  <c r="B31" i="4"/>
  <c r="L30" i="4"/>
  <c r="H30" i="4"/>
  <c r="G30" i="4"/>
  <c r="F30" i="4"/>
  <c r="E30" i="4"/>
  <c r="D30" i="4"/>
  <c r="C30" i="4"/>
  <c r="B30" i="4"/>
  <c r="L29" i="4"/>
  <c r="J29" i="4"/>
  <c r="I29" i="4"/>
  <c r="H29" i="4"/>
  <c r="G29" i="4"/>
  <c r="F29" i="4"/>
  <c r="E29" i="4"/>
  <c r="D29" i="4"/>
  <c r="C29" i="4"/>
  <c r="B29" i="4"/>
  <c r="L28" i="4"/>
  <c r="J28" i="4"/>
  <c r="I28" i="4"/>
  <c r="H28" i="4"/>
  <c r="G28" i="4"/>
  <c r="F28" i="4"/>
  <c r="E28" i="4"/>
  <c r="D28" i="4"/>
  <c r="C28" i="4"/>
  <c r="B28" i="4"/>
  <c r="L27" i="4"/>
  <c r="H27" i="4"/>
  <c r="G27" i="4"/>
  <c r="F27" i="4"/>
  <c r="E27" i="4"/>
  <c r="D27" i="4"/>
  <c r="C27" i="4"/>
  <c r="B27" i="4"/>
  <c r="L26" i="4"/>
  <c r="K26" i="4"/>
  <c r="J26" i="4"/>
  <c r="I26" i="4"/>
  <c r="H26" i="4"/>
  <c r="G26" i="4"/>
  <c r="F26" i="4"/>
  <c r="E26" i="4"/>
  <c r="D26" i="4"/>
  <c r="C26" i="4"/>
  <c r="B26" i="4"/>
  <c r="L25" i="4"/>
  <c r="I25" i="4"/>
  <c r="H25" i="4"/>
  <c r="G25" i="4"/>
  <c r="F25" i="4"/>
  <c r="E25" i="4"/>
  <c r="D25" i="4"/>
  <c r="C25" i="4"/>
  <c r="B25" i="4"/>
  <c r="L24" i="4"/>
  <c r="I24" i="4"/>
  <c r="H24" i="4"/>
  <c r="G24" i="4"/>
  <c r="F24" i="4"/>
  <c r="E24" i="4"/>
  <c r="D24" i="4"/>
  <c r="C24" i="4"/>
  <c r="B24" i="4"/>
  <c r="L23" i="4"/>
  <c r="I23" i="4"/>
  <c r="H23" i="4"/>
  <c r="G23" i="4"/>
  <c r="F23" i="4"/>
  <c r="E23" i="4"/>
  <c r="D23" i="4"/>
  <c r="C23" i="4"/>
  <c r="B23" i="4"/>
  <c r="L22" i="4"/>
  <c r="I22" i="4"/>
  <c r="H22" i="4"/>
  <c r="G22" i="4"/>
  <c r="F22" i="4"/>
  <c r="E22" i="4"/>
  <c r="D22" i="4"/>
  <c r="C22" i="4"/>
  <c r="B22" i="4"/>
  <c r="L21" i="4"/>
  <c r="H21" i="4"/>
  <c r="G21" i="4"/>
  <c r="F21" i="4"/>
  <c r="E21" i="4"/>
  <c r="D21" i="4"/>
  <c r="C21" i="4"/>
  <c r="B21" i="4"/>
  <c r="L20" i="4"/>
  <c r="K20" i="4"/>
  <c r="I20" i="4"/>
  <c r="H20" i="4"/>
  <c r="G20" i="4"/>
  <c r="F20" i="4"/>
  <c r="E20" i="4"/>
  <c r="D20" i="4"/>
  <c r="C20" i="4"/>
  <c r="B20" i="4"/>
  <c r="L19" i="4"/>
  <c r="J19" i="4"/>
  <c r="I19" i="4"/>
  <c r="H19" i="4"/>
  <c r="G19" i="4"/>
  <c r="F19" i="4"/>
  <c r="E19" i="4"/>
  <c r="D19" i="4"/>
  <c r="C19" i="4"/>
  <c r="B19" i="4"/>
  <c r="L18" i="4"/>
  <c r="I18" i="4"/>
  <c r="H18" i="4"/>
  <c r="G18" i="4"/>
  <c r="F18" i="4"/>
  <c r="E18" i="4"/>
  <c r="D18" i="4"/>
  <c r="C18" i="4"/>
  <c r="B18" i="4"/>
  <c r="L17" i="4"/>
  <c r="H17" i="4"/>
  <c r="G17" i="4"/>
  <c r="F17" i="4"/>
  <c r="E17" i="4"/>
  <c r="D17" i="4"/>
  <c r="C17" i="4"/>
  <c r="B17" i="4"/>
  <c r="L16" i="4"/>
  <c r="K16" i="4"/>
  <c r="J16" i="4"/>
  <c r="I16" i="4"/>
  <c r="H16" i="4"/>
  <c r="G16" i="4"/>
  <c r="F16" i="4"/>
  <c r="E16" i="4"/>
  <c r="D16" i="4"/>
  <c r="C16" i="4"/>
  <c r="B16" i="4"/>
  <c r="L15" i="4"/>
  <c r="I15" i="4"/>
  <c r="H15" i="4"/>
  <c r="G15" i="4"/>
  <c r="F15" i="4"/>
  <c r="E15" i="4"/>
  <c r="D15" i="4"/>
  <c r="C15" i="4"/>
  <c r="B15" i="4"/>
  <c r="L14" i="4"/>
  <c r="H14" i="4"/>
  <c r="G14" i="4"/>
  <c r="F14" i="4"/>
  <c r="E14" i="4"/>
  <c r="D14" i="4"/>
  <c r="C14" i="4"/>
  <c r="B14" i="4"/>
  <c r="L13" i="4"/>
  <c r="H13" i="4"/>
  <c r="G13" i="4"/>
  <c r="F13" i="4"/>
  <c r="E13" i="4"/>
  <c r="D13" i="4"/>
  <c r="C13" i="4"/>
  <c r="B13" i="4"/>
  <c r="L12" i="4"/>
  <c r="H12" i="4"/>
  <c r="G12" i="4"/>
  <c r="F12" i="4"/>
  <c r="E12" i="4"/>
  <c r="D12" i="4"/>
  <c r="C12" i="4"/>
  <c r="B12" i="4"/>
  <c r="L11" i="4"/>
  <c r="I11" i="4"/>
  <c r="H11" i="4"/>
  <c r="G11" i="4"/>
  <c r="F11" i="4"/>
  <c r="E11" i="4"/>
  <c r="D11" i="4"/>
  <c r="C11" i="4"/>
  <c r="B11" i="4"/>
  <c r="L10" i="4"/>
  <c r="H10" i="4"/>
  <c r="G10" i="4"/>
  <c r="F10" i="4"/>
  <c r="E10" i="4"/>
  <c r="D10" i="4"/>
  <c r="C10" i="4"/>
  <c r="B10" i="4"/>
  <c r="L9" i="4"/>
  <c r="K9" i="4"/>
  <c r="I9" i="4"/>
  <c r="H9" i="4"/>
  <c r="G9" i="4"/>
  <c r="F9" i="4"/>
  <c r="E9" i="4"/>
  <c r="D9" i="4"/>
  <c r="C9" i="4"/>
  <c r="B9" i="4"/>
  <c r="L8" i="4"/>
  <c r="I8" i="4"/>
  <c r="H8" i="4"/>
  <c r="G8" i="4"/>
  <c r="F8" i="4"/>
  <c r="E8" i="4"/>
  <c r="D8" i="4"/>
  <c r="C8" i="4"/>
  <c r="B8" i="4"/>
  <c r="L7" i="4"/>
  <c r="I7" i="4"/>
  <c r="H7" i="4"/>
  <c r="G7" i="4"/>
  <c r="F7" i="4"/>
  <c r="E7" i="4"/>
  <c r="D7" i="4"/>
  <c r="C7" i="4"/>
  <c r="B7" i="4"/>
  <c r="L6" i="4"/>
  <c r="I6" i="4"/>
  <c r="H6" i="4"/>
  <c r="G6" i="4"/>
  <c r="F6" i="4"/>
  <c r="E6" i="4"/>
  <c r="D6" i="4"/>
  <c r="C6" i="4"/>
  <c r="B6" i="4"/>
  <c r="L5" i="4"/>
  <c r="K5" i="4"/>
  <c r="J5" i="4"/>
  <c r="I5" i="4"/>
  <c r="H5" i="4"/>
  <c r="G5" i="4"/>
  <c r="F5" i="4"/>
  <c r="E5" i="4"/>
  <c r="D5" i="4"/>
  <c r="C5" i="4"/>
  <c r="B5" i="4"/>
  <c r="L4" i="4"/>
  <c r="J4" i="4"/>
  <c r="I4" i="4"/>
  <c r="H4" i="4"/>
  <c r="G4" i="4"/>
  <c r="F4" i="4"/>
  <c r="E4" i="4"/>
  <c r="D4" i="4"/>
  <c r="C4" i="4"/>
  <c r="B4" i="4"/>
  <c r="L3" i="4"/>
  <c r="J3" i="4"/>
  <c r="I3" i="4"/>
  <c r="H3" i="4"/>
  <c r="G3" i="4"/>
  <c r="F3" i="4"/>
  <c r="E3" i="4"/>
  <c r="D3" i="4"/>
  <c r="C3" i="4"/>
  <c r="B3" i="4"/>
  <c r="L2" i="4"/>
  <c r="I2" i="4"/>
  <c r="H2" i="4"/>
  <c r="G2" i="4"/>
  <c r="F2" i="4"/>
  <c r="E2" i="4"/>
  <c r="D2" i="4"/>
  <c r="C2" i="4"/>
  <c r="B2" i="4"/>
  <c r="R1" i="4"/>
  <c r="Q1" i="4"/>
  <c r="P1" i="4"/>
  <c r="O1" i="4"/>
  <c r="N1" i="4"/>
  <c r="L1" i="4"/>
  <c r="K1" i="4"/>
  <c r="J1" i="4"/>
  <c r="I1" i="4"/>
  <c r="H1" i="4"/>
  <c r="G1" i="4"/>
  <c r="F1" i="4"/>
  <c r="E1" i="4"/>
  <c r="D1" i="4"/>
  <c r="C1" i="4"/>
  <c r="B1" i="4"/>
  <c r="O7" i="6" l="1"/>
  <c r="C15" i="5"/>
  <c r="C14" i="5"/>
  <c r="C85" i="5"/>
  <c r="C86" i="5"/>
  <c r="C80" i="5"/>
  <c r="C82" i="5"/>
  <c r="C79" i="5"/>
  <c r="C83" i="5"/>
  <c r="C84" i="5"/>
  <c r="C81" i="5"/>
  <c r="C69" i="5"/>
  <c r="C65" i="5"/>
  <c r="C67" i="5"/>
  <c r="C70" i="5"/>
  <c r="C71" i="5"/>
  <c r="C68" i="5"/>
  <c r="C64" i="5"/>
  <c r="C66" i="5"/>
  <c r="C39" i="5"/>
  <c r="C45" i="5"/>
  <c r="C57" i="5"/>
  <c r="C51" i="5"/>
  <c r="C44" i="5"/>
  <c r="C56" i="5"/>
  <c r="C46" i="5"/>
  <c r="C41" i="5"/>
  <c r="C54" i="5"/>
  <c r="C47" i="5"/>
  <c r="C40" i="5"/>
  <c r="C43" i="5"/>
  <c r="C52" i="5"/>
  <c r="C50" i="5"/>
  <c r="C55" i="5"/>
  <c r="C48" i="5"/>
  <c r="C53" i="5"/>
  <c r="C49" i="5"/>
  <c r="C42" i="5"/>
  <c r="C29" i="5"/>
  <c r="C27" i="5"/>
  <c r="C23" i="5"/>
  <c r="C25" i="5"/>
  <c r="C31" i="5"/>
  <c r="C30" i="5"/>
  <c r="C24" i="5"/>
  <c r="C28" i="5"/>
  <c r="C26" i="5"/>
  <c r="C13" i="5"/>
  <c r="C12" i="5"/>
  <c r="C16" i="5"/>
  <c r="C17" i="5"/>
  <c r="C5" i="5"/>
  <c r="C7" i="5"/>
  <c r="C4" i="5"/>
  <c r="C6" i="5"/>
  <c r="C94" i="5"/>
  <c r="C95" i="5"/>
  <c r="C93" i="5"/>
  <c r="C92" i="5"/>
  <c r="C91" i="5"/>
  <c r="C96" i="5"/>
  <c r="O3" i="6" l="1"/>
  <c r="C8" i="5"/>
</calcChain>
</file>

<file path=xl/comments1.xml><?xml version="1.0" encoding="utf-8"?>
<comments xmlns="http://schemas.openxmlformats.org/spreadsheetml/2006/main" xmlns:mc="http://schemas.openxmlformats.org/markup-compatibility/2006" xmlns:xr="http://schemas.microsoft.com/office/spreadsheetml/2014/revision" mc:Ignorable="xr">
  <authors>
    <author/>
  </authors>
  <commentList>
    <comment ref="F52" authorId="0" shapeId="0" xr:uid="{C35A9FE9-CF48-4EA6-BC2C-6385EBDE5D11}">
      <text>
        <r>
          <rPr>
            <sz val="10"/>
            <color rgb="FF000000"/>
            <rFont val="Arial"/>
            <family val="2"/>
          </rPr>
          <t>Responder updated this value.</t>
        </r>
      </text>
    </comment>
    <comment ref="G52" authorId="0" shapeId="0" xr:uid="{B81555C4-23D2-4CBB-BE31-8AC2C5174559}">
      <text>
        <r>
          <rPr>
            <sz val="10"/>
            <color rgb="FF000000"/>
            <rFont val="Arial"/>
            <family val="2"/>
          </rPr>
          <t>Responder updated this value.</t>
        </r>
      </text>
    </comment>
  </commentList>
</comments>
</file>

<file path=xl/sharedStrings.xml><?xml version="1.0" encoding="utf-8"?>
<sst xmlns="http://schemas.openxmlformats.org/spreadsheetml/2006/main" count="882" uniqueCount="448">
  <si>
    <t>Please note: this spreadsheet uses hidden pages for data formatting.</t>
  </si>
  <si>
    <t>I apologise for the formatting weirdness, much of it is artifacts from the conversion from google sheets (where most of the formatting and data analysis was done) to .odf format.</t>
  </si>
  <si>
    <t>If you have any questions or comments, please email admin@twyford.hants.uk clearly stating your reason for contact, and you should be referred by the assistant clerk to a representative of the climate group.</t>
  </si>
  <si>
    <t>Timestamp</t>
  </si>
  <si>
    <t>Are you answering as an individual, on behalf of a household, or on behalf of a business?</t>
  </si>
  <si>
    <t>On a scale of 0-5, how much do you think Twyford should focus on addressing climate change and its impacts?</t>
  </si>
  <si>
    <t>What are your biggest concerns about the effects of climate change? (Select any/all that apply)</t>
  </si>
  <si>
    <t>What steps have you/your household/your business taken to reduce the impact of climate change? (Select any/all that apply)</t>
  </si>
  <si>
    <t>What are the things that hold you back from doing more? (Select any/all that apply)</t>
  </si>
  <si>
    <t>I'd potentially be interested in... (select any/all that apply)</t>
  </si>
  <si>
    <t>What do you think we could do as a village to have the greatest impact on the climate?</t>
  </si>
  <si>
    <t>We need a great name for our group - any ideas?</t>
  </si>
  <si>
    <t>If there's anything else you want to share with us, please add your comments here:</t>
  </si>
  <si>
    <t>How old are you?</t>
  </si>
  <si>
    <t>Individual or Household</t>
  </si>
  <si>
    <t>The impact on my children and grandchildren, Loss of biodiversity, Extreme heat/wildfires, Higher bills (higher prices of food, water, energy, etc.), Economic/political instability, Impacts of climate change on poorer communities elsewhere in the world, Climate migration</t>
  </si>
  <si>
    <t>Nature friendly gardening (e.g. planting wildflowers, rewilding, using peat-free compost), Adopted a more climate-friendly diet (e.g. reduced meat consumption, buying local, buying food in season), Reduced my travel, Used lower carbon ways of travelling (e.g. walking, cycling, public transport), Invested in an electric/hybrid car, Reduced my energy use, Installed insulation, Reused or repaired items, Composted or recycled waste, Reduced water use (e.g. install water butts, shorter showers), Reduced heat risk (e.g. additional planting, shading around my property), Joined a climate or environmental group, Talked to friends and family about climate change or actions I've taken, Solar panels plus storage battery</t>
  </si>
  <si>
    <t>I've done as much as I can</t>
  </si>
  <si>
    <t>Information about what I can do (including talks/demonstrations), Joining others with similar interests so we can create action together, Opportunities to talk about my feelings about climate change, Practical tasks or projects</t>
  </si>
  <si>
    <t>Reduce traffic, plant more trees, hold veggie days in local pubs and cafes</t>
  </si>
  <si>
    <t>Over 65</t>
  </si>
  <si>
    <t>The impact on my children and grandchildren, Loss of biodiversity, Floods and storms, Extreme heat/wildfires, Economic/political instability, Impacts of climate change on poorer communities elsewhere in the world</t>
  </si>
  <si>
    <t>Nature friendly gardening (e.g. planting wildflowers, rewilding, using peat-free compost), Adopted a more climate-friendly diet (e.g. reduced meat consumption, buying local, buying food in season), Reduced my travel, Used lower carbon ways of travelling (e.g. walking, cycling, public transport), Reduced my energy use, Hired or borrowed items instead of buying, Reused or repaired items, Composted or recycled waste, Reduced water use (e.g. install water butts, shorter showers), Reduced heat risk (e.g. additional planting, shading around my property), Taken political action (e.g. written to MP, taken part in campaigns or protests), Joined a climate or environmental group, Talked to friends and family about climate change or actions I've taken</t>
  </si>
  <si>
    <t>I don't have the money, I don't have the time</t>
  </si>
  <si>
    <t>Information about what I can do (including talks/demonstrations), Practical tasks or projects</t>
  </si>
  <si>
    <t>Reduce traffic: eg reduce car use by residents and traffic volume passing through the village. NB traffic was the biggest quality of life issue for residents in Neighbourhood Plan consultation.</t>
  </si>
  <si>
    <t>Sustain Twyford</t>
  </si>
  <si>
    <t>Individual</t>
  </si>
  <si>
    <t>The impact on my children and grandchildren, Loss of biodiversity, Floods and storms, Water shortages, Extreme heat/wildfires, Higher bills (higher prices of food, water, energy, etc.), Economic/political instability, Impacts of climate change on poorer communities elsewhere in the world, Climate migration</t>
  </si>
  <si>
    <t>Nature friendly gardening (e.g. planting wildflowers, rewilding, using peat-free compost), Adopted a more climate-friendly diet (e.g. reduced meat consumption, buying local, buying food in season), Reduced my travel, Used lower carbon ways of travelling (e.g. walking, cycling, public transport), Installed insulation, Hired or borrowed items instead of buying, Reused or repaired items, Composted or recycled waste, Reduced water use (e.g. install water butts, shorter showers), Moved my money to sustainable banks or invested in sustainable funds, Taken political action (e.g. written to MP, taken part in campaigns or protests), Joined a climate or environmental group, Talked to friends and family about climate change or actions I've taken</t>
  </si>
  <si>
    <t>I’m doing as much as I can for now</t>
  </si>
  <si>
    <t>Information about what I can do (including talks/demonstrations), Joining others with similar interests so we can create action together, Opportunities to talk about my feelings about climate change, Practical tasks or projects, Sharing my skills and knowledge with others, Setting up locally run projects or campaigns</t>
  </si>
  <si>
    <t>Provide an hub for opportunities and signposting for people to come together as groups who all focus on different topics where local or global. Encourage everyone to lead or contribute according to their own interests and specialisms rather than a prescriptive one size fits all approach.
We need to build a strong community to help us through the challenges associated with what’s being billed as the poly crisis.
As well as community involvement, we really need bold and visible leadership from the Parish Council.</t>
  </si>
  <si>
    <t xml:space="preserve">Not my specialism but I like ideas that incorporate words such as:
Twyford, Environment, Climate, Community, Adaption, Restoration, Resilience
</t>
  </si>
  <si>
    <t>45-54</t>
  </si>
  <si>
    <t>Household</t>
  </si>
  <si>
    <t>The impact on my children and grandchildren, Loss of biodiversity, Floods and storms, Water shortages, Extreme heat/wildfires, Higher bills (higher prices of food, water, energy, etc.), Economic/political instability, Impacts of climate change on poorer communities elsewhere in the world, Climate migration, Negative impact on health of climate change</t>
  </si>
  <si>
    <t>Adopted a more climate-friendly diet (e.g. reduced meat consumption, buying local, buying food in season), Reduced my travel, Used lower carbon ways of travelling (e.g. walking, cycling, public transport), Invested in an electric/hybrid car, Reused or repaired items, Composted or recycled waste, Reduced water use (e.g. install water butts, shorter showers), Moved my money to sustainable banks or invested in sustainable funds, Taken political action (e.g. written to MP, taken part in campaigns or protests), Joined a climate or environmental group, Talked to friends and family about climate change or actions I've taken</t>
  </si>
  <si>
    <t>I don't have the time</t>
  </si>
  <si>
    <t>1) Reduce the speed limit through the village in a meaningful way (with speed cameras) to reduce the negative impact from air pollution on the climate and residents.
2) Campaign and work towards better infrastructure for safer cycling and walking routes and public transport.
3) Conservation of the green spaces around the village and the beautiful nature spaces we are so fortunate to be surrounded by.</t>
  </si>
  <si>
    <t>Twyford Action for Climate Change (TACC)</t>
  </si>
  <si>
    <t>I would be happy to volunteer time to the group if details of this are shared.</t>
  </si>
  <si>
    <t>35-44</t>
  </si>
  <si>
    <t>The impact on my children and grandchildren, Loss of biodiversity, Floods and storms, Water shortages, Extreme heat/wildfires, Economic/political instability, Impacts of climate change on poorer communities elsewhere in the world, Climate migration</t>
  </si>
  <si>
    <t>Adopted a more climate-friendly diet (e.g. reduced meat consumption, buying local, buying food in season), Used lower carbon ways of travelling (e.g. walking, cycling, public transport), Invested in an electric/hybrid car, Composted or recycled waste, Moved my money to sustainable banks or invested in sustainable funds, Taken political action (e.g. written to MP, taken part in campaigns or protests), Talked to friends and family about climate change or actions I've taken</t>
  </si>
  <si>
    <t>I don't have the money, I believe it's up to those in power to lead</t>
  </si>
  <si>
    <t>Joining others with similar interests so we can create action together, Practical tasks or projects, Sharing my skills and knowledge with others, Setting up locally run projects or campaigns</t>
  </si>
  <si>
    <t>Introduce safe cycling routes to Winchester, Shawford and Colden Common.
Reduce the speed limit to 20mph through the village with speed cameras.</t>
  </si>
  <si>
    <t>The impact on my children and grandchildren, Loss of biodiversity, Floods and storms, Water shortages, Extreme heat/wildfires</t>
  </si>
  <si>
    <t>Nature friendly gardening (e.g. planting wildflowers, rewilding, using peat-free compost), Adopted a more climate-friendly diet (e.g. reduced meat consumption, buying local, buying food in season), Used lower carbon ways of travelling (e.g. walking, cycling, public transport), Hired or borrowed items instead of buying, Reused or repaired items, Composted or recycled waste, Reduced water use (e.g. install water butts, shorter showers)</t>
  </si>
  <si>
    <t>N/a</t>
  </si>
  <si>
    <t>Information about what I can do (including talks/demonstrations), Joining others with similar interests so we can create action together, Practical tasks or projects, Setting up locally run projects or campaigns</t>
  </si>
  <si>
    <t>Promote and encourage the little/easy changes that everyone can do. Rewilding of the available land.</t>
  </si>
  <si>
    <t>The impact on my children and grandchildren, Loss of biodiversity, Floods and storms, Impacts of climate change on poorer communities elsewhere in the world, Climate migration</t>
  </si>
  <si>
    <t>Nature friendly gardening (e.g. planting wildflowers, rewilding, using peat-free compost), Adopted a more climate-friendly diet (e.g. reduced meat consumption, buying local, buying food in season), Reduced my travel, Invested in an electric/hybrid car, Reduced my energy use, Installed insulation, Installed a greener heating system, Reused or repaired items, Composted or recycled waste, Reduced water use (e.g. install water butts, shorter showers), Moved my money to sustainable banks or invested in sustainable funds, Installed significant solar generation</t>
  </si>
  <si>
    <t>Balancing demands of life with taking action</t>
  </si>
  <si>
    <t>Information about what I can do (including talks/demonstrations)</t>
  </si>
  <si>
    <t>Take care of our green spaces and promote locally grown non plastic covered or processed foods eg support Hampshire Market Garden</t>
  </si>
  <si>
    <t>55-64</t>
  </si>
  <si>
    <t>The impact on my children and grandchildren, Loss of biodiversity, Floods and storms, Water shortages, Extreme heat/wildfires, Economic/political instability, Impacts of climate change on poorer communities elsewhere in the world</t>
  </si>
  <si>
    <t>Nature friendly gardening (e.g. planting wildflowers, rewilding, using peat-free compost), Adopted a more climate-friendly diet (e.g. reduced meat consumption, buying local, buying food in season), Reduced my travel, Hired or borrowed items instead of buying, Reused or repaired items, Composted or recycled waste, Moved my money to sustainable banks or invested in sustainable funds, Taken political action (e.g. written to MP, taken part in campaigns or protests), Joined a climate or environmental group, Talked to friends and family about climate change or actions I've taken</t>
  </si>
  <si>
    <t>I don't have the money, I don't have the time, I believe it's up to those in power to lead</t>
  </si>
  <si>
    <t>Information about what I can do (including talks/demonstrations), Joining others with similar interests so we can create action together, Opportunities to talk about my feelings about climate change, Practical tasks or projects, Sharing my skills and knowledge with others, Setting up locally run projects or campaigns, Attending protests</t>
  </si>
  <si>
    <t>Educate, large (and small scale) biodiviersity efforts, sharing economy (repair, reuse, teach skills), monthly repair cafe.</t>
  </si>
  <si>
    <t>We will be messaging about getting inolved!</t>
  </si>
  <si>
    <t>Loss of biodiversity, Floods and storms, Water shortages, Extreme heat/wildfires, Higher bills (higher prices of food, water, energy, etc.), Impacts of climate change on poorer communities elsewhere in the world</t>
  </si>
  <si>
    <t>Adopted a more climate-friendly diet (e.g. reduced meat consumption, buying local, buying food in season), Invested in an electric/hybrid car, Installed a greener heating system, Reused or repaired items, Composted or recycled waste, Reduced water use (e.g. install water butts, shorter showers)</t>
  </si>
  <si>
    <t>I don't have the money</t>
  </si>
  <si>
    <t>The impact on my children and grandchildren, Loss of biodiversity, Floods and storms, Water shortages, Climate migration</t>
  </si>
  <si>
    <t>Adopted a more climate-friendly diet (e.g. reduced meat consumption, buying local, buying food in season), Reduced my travel, Used lower carbon ways of travelling (e.g. walking, cycling, public transport), Reduced my energy use, Installed insulation, Composted or recycled waste</t>
  </si>
  <si>
    <t>Setting up locally run projects or campaigns</t>
  </si>
  <si>
    <t>Lobby local government to improve bus access in Twyford, especially a direct and regular bus to Winchester station at peak commuting hours,
synchronised with the London trains. Also, stop parish council grazing cows on common land!</t>
  </si>
  <si>
    <t>Nature friendly gardening (e.g. planting wildflowers, rewilding, using peat-free compost), Invested in an electric/hybrid car, Reduced my energy use, Installed a greener heating system, Composted or recycled waste, Reduced water use (e.g. install water butts, shorter showers)</t>
  </si>
  <si>
    <t>I don't know what I can do</t>
  </si>
  <si>
    <t>Practical tasks or projects</t>
  </si>
  <si>
    <t>Higher bills (higher prices of food, water, energy, etc.)</t>
  </si>
  <si>
    <t>Composted or recycled waste</t>
  </si>
  <si>
    <t>None of the above</t>
  </si>
  <si>
    <t>The impact on my children and grandchildren, Loss of biodiversity, Floods and storms, Water shortages, Extreme heat/wildfires, Impacts of climate change on poorer communities elsewhere in the world</t>
  </si>
  <si>
    <t>Nature friendly gardening (e.g. planting wildflowers, rewilding, using peat-free compost), Adopted a more climate-friendly diet (e.g. reduced meat consumption, buying local, buying food in season), Used lower carbon ways of travelling (e.g. walking, cycling, public transport), Installed insulation, Composted or recycled waste, Reduced water use (e.g. install water butts, shorter showers)</t>
  </si>
  <si>
    <t>The impact on my children and grandchildren, Loss of biodiversity, Floods and storms, Water shortages, Extreme heat/wildfires, Economic/political instability, Impacts of climate change on poorer communities elsewhere in the world, Climate migration, Ground water flooding</t>
  </si>
  <si>
    <t>Adopted a more climate-friendly diet (e.g. reduced meat consumption, buying local, buying food in season), Installed a greener heating system, Reused or repaired items, Composted or recycled waste, Taken political action (e.g. written to MP, taken part in campaigns or protests), Haven't flown in a plane for about 14 years.</t>
  </si>
  <si>
    <t>I often take the easy way out!</t>
  </si>
  <si>
    <t>"20's Plenty" throughout the village (including main road)</t>
  </si>
  <si>
    <t>Nature friendly gardening (e.g. planting wildflowers, rewilding, using peat-free compost), Adopted a more climate-friendly diet (e.g. reduced meat consumption, buying local, buying food in season), Reduced my energy use, Reused or repaired items, Composted or recycled waste, Talked to friends and family about climate change or actions I've taken</t>
  </si>
  <si>
    <t>Community projects</t>
  </si>
  <si>
    <t>Working on it!</t>
  </si>
  <si>
    <t>Well done - great this group has been set up</t>
  </si>
  <si>
    <t>The impact on my children and grandchildren, Loss of biodiversity, Impacts of climate change on poorer communities elsewhere in the world</t>
  </si>
  <si>
    <t>Nature friendly gardening (e.g. planting wildflowers, rewilding, using peat-free compost), Adopted a more climate-friendly diet (e.g. reduced meat consumption, buying local, buying food in season), Reduced my travel, Used lower carbon ways of travelling (e.g. walking, cycling, public transport), Invested in an electric/hybrid car, Reduced my energy use, Reused or repaired items, Composted or recycled waste, Reduced water use (e.g. install water butts, shorter showers), Talked to friends and family about climate change or actions I've taken</t>
  </si>
  <si>
    <t>I don't know what I can do, I don't like thinking about climate change</t>
  </si>
  <si>
    <t>Loss of biodiversity, Water shortages, Extreme heat/wildfires, Economic/political instability, Impacts of climate change on poorer communities elsewhere in the world</t>
  </si>
  <si>
    <t>Adopted a more climate-friendly diet (e.g. reduced meat consumption, buying local, buying food in season), Reduced my travel, Used lower carbon ways of travelling (e.g. walking, cycling, public transport), Installed insulation, Reused or repaired items, Composted or recycled waste, Moved my money to sustainable banks or invested in sustainable funds, Joined a climate or environmental group, Talked to friends and family about climate change or actions I've taken</t>
  </si>
  <si>
    <t>I feel stuck</t>
  </si>
  <si>
    <t>Information about what I can do (including talks/demonstrations), Joining others with similar interests so we can create action together, Practical tasks or projects, Sharing my skills and knowledge with others, Setting up locally run projects or campaigns, Attending protests</t>
  </si>
  <si>
    <t>create a proper cycle connection between Twyford and Winchester; focus on getting community involved in climate transition with small projects to build community cohesion on climate</t>
  </si>
  <si>
    <t>16-24</t>
  </si>
  <si>
    <t>The impact on my children and grandchildren, Floods and storms, Extreme heat/wildfires, Higher bills (higher prices of food, water, energy, etc.), Economic/political instability, Impacts of climate change on poorer communities elsewhere in the world, Climate migration</t>
  </si>
  <si>
    <t>Nature friendly gardening (e.g. planting wildflowers, rewilding, using peat-free compost), Adopted a more climate-friendly diet (e.g. reduced meat consumption, buying local, buying food in season), Used lower carbon ways of travelling (e.g. walking, cycling, public transport), Reused or repaired items, Composted or recycled waste</t>
  </si>
  <si>
    <t>I believe it's up to those in power to lead</t>
  </si>
  <si>
    <t>An on-line means to list items for reuse. I know there is FB market place, but there are people like me who do not have a FB account -  my way to reduce energy use!</t>
  </si>
  <si>
    <t>Climate Action in Twyford (CAT)</t>
  </si>
  <si>
    <t>The impact on my children and grandchildren, Loss of biodiversity, Floods and storms, Water shortages, Extreme heat/wildfires, Higher bills (higher prices of food, water, energy, etc.), Impacts of climate change on poorer communities elsewhere in the world, People travelling by air and polution harming the environment!</t>
  </si>
  <si>
    <t>Nature friendly gardening (e.g. planting wildflowers, rewilding, using peat-free compost), Adopted a more climate-friendly diet (e.g. reduced meat consumption, buying local, buying food in season), Reduced my travel, Used lower carbon ways of travelling (e.g. walking, cycling, public transport), Installed insulation, Reused or repaired items, Composted or recycled waste, Taken political action (e.g. written to MP, taken part in campaigns or protests), Joined a climate or environmental group, Talked to friends and family about climate change or actions I've taken, Asking for popular bus route to be reinstated to reduce traffic in City.</t>
  </si>
  <si>
    <t>I don't have the money, I don't have the time, Talking to people about the choices they make. Looking at alternatives</t>
  </si>
  <si>
    <t>Information about what I can do (including talks/demonstrations), Practical tasks or projects, Sharing my skills and knowledge with others, Education on climate change for children and adults</t>
  </si>
  <si>
    <t xml:space="preserve"> Limit travel and reduce pollution. Keep gardens and open spaces green.</t>
  </si>
  <si>
    <t xml:space="preserve"> Joined up thinking about the environment. Taking care of green spaces. Fly tipping and litter</t>
  </si>
  <si>
    <t>The impact on my children and grandchildren, Higher bills (higher prices of food, water, energy, etc.), Economic/political instability</t>
  </si>
  <si>
    <t>Hired or borrowed items instead of buying, Reused or repaired items</t>
  </si>
  <si>
    <t>I don't have the time, I believe it's up to those in power to lead</t>
  </si>
  <si>
    <t>Opportunities to talk about my feelings about climate change, Practical tasks or projects</t>
  </si>
  <si>
    <t>Loss of biodiversity, Floods and storms, Water shortages, Extreme heat/wildfires, Higher bills (higher prices of food, water, energy, etc.), Economic/political instability, Impacts of climate change on poorer communities elsewhere in the world</t>
  </si>
  <si>
    <t>Nature friendly gardening (e.g. planting wildflowers, rewilding, using peat-free compost), Adopted a more climate-friendly diet (e.g. reduced meat consumption, buying local, buying food in season), Reduced my travel, Used lower carbon ways of travelling (e.g. walking, cycling, public transport), Reduced my energy use, Installed a greener heating system, Hired or borrowed items instead of buying, Reused or repaired items, Composted or recycled waste, Reduced water use (e.g. install water butts, shorter showers), Moved my money to sustainable banks or invested in sustainable funds, Taken political action (e.g. written to MP, taken part in campaigns or protests), Joined a climate or environmental group, Talked to friends and family about climate change or actions I've taken</t>
  </si>
  <si>
    <t>Information about what I can do (including talks/demonstrations), Practical tasks or projects, Attending protests</t>
  </si>
  <si>
    <t>Reduce heavy goods traffic through the village, reduced the speed.limit and campaign for a better bus and train service.</t>
  </si>
  <si>
    <t>Adopted a more climate-friendly diet (e.g. reduced meat consumption, buying local, buying food in season), Reduced my travel, Used lower carbon ways of travelling (e.g. walking, cycling, public transport), Reduced my energy use, Hired or borrowed items instead of buying, Composted or recycled waste, Reduced water use (e.g. install water butts, shorter showers), Talked to friends and family about climate change or actions I've taken</t>
  </si>
  <si>
    <t>Educating people on what they can do</t>
  </si>
  <si>
    <t>Loss of biodiversity, Higher bills (higher prices of food, water, energy, etc.), Impacts of climate change on poorer communities elsewhere in the world</t>
  </si>
  <si>
    <t>Nature friendly gardening (e.g. planting wildflowers, rewilding, using peat-free compost), Used lower carbon ways of travelling (e.g. walking, cycling, public transport), Reduced my energy use, Installed insulation, Hired or borrowed items instead of buying, Reused or repaired items, Composted or recycled waste, Reduced water use (e.g. install water butts, shorter showers)</t>
  </si>
  <si>
    <t>I don't know what I can do, I don't believe I can have an impact</t>
  </si>
  <si>
    <t>Information about what I can do (including talks/demonstrations), Practical tasks or projects, Setting up locally run projects or campaigns</t>
  </si>
  <si>
    <t>Take some ownership instead of saying 'why haven't they done something' ....whoever they might be !</t>
  </si>
  <si>
    <t>Floods and storms, Economic/political instability, Impacts of climate change on poorer communities elsewhere in the world</t>
  </si>
  <si>
    <t>Nature friendly gardening (e.g. planting wildflowers, rewilding, using peat-free compost), Adopted a more climate-friendly diet (e.g. reduced meat consumption, buying local, buying food in season), Used lower carbon ways of travelling (e.g. walking, cycling, public transport), Invested in an electric/hybrid car, Reduced my energy use, Installed insulation, Installed a greener heating system, Hired or borrowed items instead of buying, Reused or repaired items, Composted or recycled waste, Reduced flood risk by replacing solid surfaces with permeable surfaces, Reduced water use (e.g. install water butts, shorter showers), Taken political action (e.g. written to MP, taken part in campaigns or protests), Joined a climate or environmental group, Talked to friends and family about climate change or actions I've taken, Fitred an air source heat pump 5 years ago.</t>
  </si>
  <si>
    <t>I feel stuck, Climate change deniers in power. Trump terrifies me. Climate</t>
  </si>
  <si>
    <t>Not sure</t>
  </si>
  <si>
    <t>Loss of biodiversity, Economic/political instability, Impacts of climate change on poorer communities elsewhere in the world</t>
  </si>
  <si>
    <t>Nature friendly gardening (e.g. planting wildflowers, rewilding, using peat-free compost), Used lower carbon ways of travelling (e.g. walking, cycling, public transport), Reused or repaired items, Taken political action (e.g. written to MP, taken part in campaigns or protests)</t>
  </si>
  <si>
    <t>Stop mowing the churchyard into oblivion. Once a year is best.</t>
  </si>
  <si>
    <t>Twyford EcoSystems Group</t>
  </si>
  <si>
    <t>Move away from climate to preserving biodiversity: stop using pesticides, herbicides and topical pesticides on pets.</t>
  </si>
  <si>
    <t>The impact on my children and grandchildren, Loss of biodiversity, Floods and storms, Water shortages, Extreme heat/wildfires, Higher bills (higher prices of food, water, energy, etc.), Economic/political instability</t>
  </si>
  <si>
    <t>Nature friendly gardening (e.g. planting wildflowers, rewilding, using peat-free compost), Reused or repaired items, Composted or recycled waste, Talked to friends and family about climate change or actions I've taken</t>
  </si>
  <si>
    <t>I don't believe I can have an impact, I feel stuck</t>
  </si>
  <si>
    <t>Nature friendly gardening (e.g. planting wildflowers, rewilding, using peat-free compost), Adopted a more climate-friendly diet (e.g. reduced meat consumption, buying local, buying food in season), Used lower carbon ways of travelling (e.g. walking, cycling, public transport), Invested in an electric/hybrid car, Reused or repaired items, Composted or recycled waste</t>
  </si>
  <si>
    <t>I don't believe I can have an impact</t>
  </si>
  <si>
    <t>Continue to campaign for bus routes to be reinstated.  Repair cafe. Group for borrowing/lending items only needed once or occasionally</t>
  </si>
  <si>
    <t>Twyford Climate Action</t>
  </si>
  <si>
    <t>Loss of biodiversity, Floods and storms, Impacts of climate change on poorer communities elsewhere in the world, Climate migration</t>
  </si>
  <si>
    <t>Adopted a more climate-friendly diet (e.g. reduced meat consumption, buying local, buying food in season), Used lower carbon ways of travelling (e.g. walking, cycling, public transport), Reduced my energy use, Hired or borrowed items instead of buying, Reused or repaired items, Composted or recycled waste, Reduced water use (e.g. install water butts, shorter showers)</t>
  </si>
  <si>
    <t>I don't know what I can do, I don't have the money, I don't have the time, I believe it's up to those in power to lead</t>
  </si>
  <si>
    <t>Re wilding areas of the village and solar panels for energy</t>
  </si>
  <si>
    <t>Climate cohort</t>
  </si>
  <si>
    <t>Loss of biodiversity, Floods and storms, Higher bills (higher prices of food, water, energy, etc.)</t>
  </si>
  <si>
    <t>Nature friendly gardening (e.g. planting wildflowers, rewilding, using peat-free compost), Adopted a more climate-friendly diet (e.g. reduced meat consumption, buying local, buying food in season), Hired or borrowed items instead of buying, Reused or repaired items, Composted or recycled waste, Reduced water use (e.g. install water butts, shorter showers)</t>
  </si>
  <si>
    <t>Joining others with similar interests so we can create action together, Opportunities to talk about my feelings about climate change</t>
  </si>
  <si>
    <t>Loss of biodiversity, Water shortages, Extreme heat/wildfires</t>
  </si>
  <si>
    <t>Nature friendly gardening (e.g. planting wildflowers, rewilding, using peat-free compost), Adopted a more climate-friendly diet (e.g. reduced meat consumption, buying local, buying food in season), Reduced my travel, Reduced my energy use, Reused or repaired items, Composted or recycled waste, Reduced flood risk by replacing solid surfaces with permeable surfaces, Reduced water use (e.g. install water butts, shorter showers), Reduced heat risk (e.g. additional planting, shading around my property), Taken political action (e.g. written to MP, taken part in campaigns or protests), Joined a climate or environmental group, Talked to friends and family about climate change or actions I've taken, Work in conservation, dedicated my life to a more sustainable future</t>
  </si>
  <si>
    <t>I don't have the money, We are in 100 year old house that cannot have cavity insulation.  Bad designed house</t>
  </si>
  <si>
    <t>Information about what I can do (including talks/demonstrations), Joining others with similar interests so we can create action together, Practical tasks or projects, Sharing my skills and knowledge with others, Attending protests</t>
  </si>
  <si>
    <t>Keep on what your doing, keeping development to a minimum.  Encourage green spaces within village</t>
  </si>
  <si>
    <t xml:space="preserve">I have 30+ years in horticulture including conservation and ecology and qualified in garden design.  I can help with practical solutions, advice and physical work.  </t>
  </si>
  <si>
    <t>Nature friendly gardening (e.g. planting wildflowers, rewilding, using peat-free compost), Adopted a more climate-friendly diet (e.g. reduced meat consumption, buying local, buying food in season), Reduced my travel, Used lower carbon ways of travelling (e.g. walking, cycling, public transport), Reused or repaired items, Composted or recycled waste, Reduced water use (e.g. install water butts, shorter showers), Reduced heat risk (e.g. additional planting, shading around my property), Taken political action (e.g. written to MP, taken part in campaigns or protests), Talked to friends and family about climate change or actions I've taken</t>
  </si>
  <si>
    <t>I don't have the money, I don't have the time, I don't believe I can have an impact, I believe it's up to those in power to lead</t>
  </si>
  <si>
    <t>Practical tasks or projects, Setting up locally run projects or campaigns</t>
  </si>
  <si>
    <t>The impact on my children and grandchildren, Floods and storms, Higher bills (higher prices of food, water, energy, etc.), Economic/political instability</t>
  </si>
  <si>
    <t>Used lower carbon ways of travelling (e.g. walking, cycling, public transport), Hired or borrowed items instead of buying, Reused or repaired items, Composted or recycled waste</t>
  </si>
  <si>
    <t>I don't know what I can do, I don't have the money</t>
  </si>
  <si>
    <t>Loss of biodiversity, Floods and storms, Water shortages, Economic/political instability, Impacts of climate change on poorer communities elsewhere in the world, Climate migration</t>
  </si>
  <si>
    <t>Nature friendly gardening (e.g. planting wildflowers, rewilding, using peat-free compost), Composted or recycled waste</t>
  </si>
  <si>
    <t>I don't believe I can have an impact, I don't like thinking about climate change, I feel stuck</t>
  </si>
  <si>
    <t>Create a system for sharing travel  - look into using BlaBlaCar. It would obviously require a lot of people to make it effective .</t>
  </si>
  <si>
    <t>The impact on my children and grandchildren</t>
  </si>
  <si>
    <t>Adopted a more climate-friendly diet (e.g. reduced meat consumption, buying local, buying food in season), Reduced my travel, Used lower carbon ways of travelling (e.g. walking, cycling, public transport), Invested in an electric/hybrid car, Reduced my energy use, Hired or borrowed items instead of buying, Reused or repaired items, Composted or recycled waste</t>
  </si>
  <si>
    <t>I don't know what I can do, I don't have the time</t>
  </si>
  <si>
    <t>Campaign for the bike lane</t>
  </si>
  <si>
    <t>The impact on my children and grandchildren, Floods and storms, Water shortages, Extreme heat/wildfires, Higher bills (higher prices of food, water, energy, etc.), Economic/political instability</t>
  </si>
  <si>
    <t>Nature friendly gardening (e.g. planting wildflowers, rewilding, using peat-free compost), Adopted a more climate-friendly diet (e.g. reduced meat consumption, buying local, buying food in season), Reduced my travel, Used lower carbon ways of travelling (e.g. walking, cycling, public transport), Invested in an electric/hybrid car, Hired or borrowed items instead of buying, Reused or repaired items, Composted or recycled waste, Reduced water use (e.g. install water butts, shorter showers), Talked to friends and family about climate change or actions I've taken</t>
  </si>
  <si>
    <t>I don't have the time, I feel stuck</t>
  </si>
  <si>
    <t>Information about what I can do (including talks/demonstrations), Joining others with similar interests so we can create action together, Opportunities to talk about my feelings about climate change, Practical tasks or projects, Setting up locally run projects or campaigns</t>
  </si>
  <si>
    <t>Village projects…. We always pull together so would work</t>
  </si>
  <si>
    <t>The impact on my children and grandchildren, Loss of biodiversity, Higher bills (higher prices of food, water, energy, etc.)</t>
  </si>
  <si>
    <t>Nature friendly gardening (e.g. planting wildflowers, rewilding, using peat-free compost), Used lower carbon ways of travelling (e.g. walking, cycling, public transport), Invested in an electric/hybrid car, Reduced my energy use, Reused or repaired items, Composted or recycled waste</t>
  </si>
  <si>
    <t>The impact on my children and grandchildren, Loss of biodiversity, Water shortages, Higher bills (higher prices of food, water, energy, etc.)</t>
  </si>
  <si>
    <t>Nature friendly gardening (e.g. planting wildflowers, rewilding, using peat-free compost), Adopted a more climate-friendly diet (e.g. reduced meat consumption, buying local, buying food in season), Reduced my travel, Used lower carbon ways of travelling (e.g. walking, cycling, public transport), Invested in an electric/hybrid car, Reduced my energy use, Reused or repaired items, Composted or recycled waste, Reduced water use (e.g. install water butts, shorter showers)</t>
  </si>
  <si>
    <t>The impact on my children and grandchildren, Loss of biodiversity, Extreme heat/wildfires, Impacts of climate change on poorer communities elsewhere in the world</t>
  </si>
  <si>
    <t>Nature friendly gardening (e.g. planting wildflowers, rewilding, using peat-free compost), Adopted a more climate-friendly diet (e.g. reduced meat consumption, buying local, buying food in season), Used lower carbon ways of travelling (e.g. walking, cycling, public transport), Installed insulation, Installed a greener heating system, Hired or borrowed items instead of buying, Reused or repaired items, Composted or recycled waste, Reduced flood risk by replacing solid surfaces with permeable surfaces, Reduced water use (e.g. install water butts, shorter showers), Talked to friends and family about climate change or actions I've taken</t>
  </si>
  <si>
    <t>I don't know what I can do, I've done as much as I can</t>
  </si>
  <si>
    <t>Traffic through the village, better public bus service to the village</t>
  </si>
  <si>
    <t>Thank you for getting people talking about this</t>
  </si>
  <si>
    <t>Loss of biodiversity, Floods and storms, Water shortages, Extreme heat/wildfires, Higher bills (higher prices of food, water, energy, etc.), Economic/political instability</t>
  </si>
  <si>
    <t>Reduced my travel, Used lower carbon ways of travelling (e.g. walking, cycling, public transport), Reduced my energy use, Reused or repaired items, Composted or recycled waste</t>
  </si>
  <si>
    <t>Joining others with similar interests so we can create action together, Practical tasks or projects, Setting up locally run projects or campaigns</t>
  </si>
  <si>
    <t>G</t>
  </si>
  <si>
    <t>The impact on my children and grandchildren, Loss of biodiversity, Floods and storms, Water shortages, Impacts of climate change on poorer communities elsewhere in the world, Climate migration</t>
  </si>
  <si>
    <t>Nature friendly gardening (e.g. planting wildflowers, rewilding, using peat-free compost), Adopted a more climate-friendly diet (e.g. reduced meat consumption, buying local, buying food in season), Invested in an electric/hybrid car, Reduced my energy use, Reused or repaired items, Composted or recycled waste</t>
  </si>
  <si>
    <t>The impact on my children and grandchildren, Loss of biodiversity, Floods and storms, Higher bills (higher prices of food, water, energy, etc.), Impacts of climate change on poorer communities elsewhere in the world, Climate migration</t>
  </si>
  <si>
    <t>Nature friendly gardening (e.g. planting wildflowers, rewilding, using peat-free compost), Used lower carbon ways of travelling (e.g. walking, cycling, public transport), Reduced my energy use, Installed insulation, Reused or repaired items, Composted or recycled waste, Reduced water use (e.g. install water butts, shorter showers), Taken political action (e.g. written to MP, taken part in campaigns or protests), Talked to friends and family about climate change or actions I've taken</t>
  </si>
  <si>
    <t>Information about what I can do (including talks/demonstrations), Attending protests</t>
  </si>
  <si>
    <t>Focus on nature! Create more nature friendly environments (Hunter park has space) and we have lots of other spaces. Focusing in on habits. A campaign to ask people to create nature friendly gardens and ‘’how to tips’’. Ensure that the new building developments has green spaces and biodiversity thinking. Swift boxes. Let the hedgerows grow. Encourage wild meadows (hazely road land) Traffic lights at the bugle (get them in (what’s taking so long and reduce emissions). A bike track to winchester that is accessible
for families.</t>
  </si>
  <si>
    <t>The impact on my children and grandchildren, Loss of biodiversity</t>
  </si>
  <si>
    <t>Used lower carbon ways of travelling (e.g. walking, cycling, public transport), Invested in an electric/hybrid car, Reduced my energy use, Composted or recycled waste, Reduced water use (e.g. install water butts, shorter showers), Talked to friends and family about climate change or actions I've taken</t>
  </si>
  <si>
    <t>Nature friendly gardening (e.g. planting wildflowers, rewilding, using peat-free compost), Adopted a more climate-friendly diet (e.g. reduced meat consumption, buying local, buying food in season), Reduced my travel, Used lower carbon ways of travelling (e.g. walking, cycling, public transport), Invested in an electric/hybrid car, Reduced my energy use, Installed insulation, Composted or recycled waste, Reduced flood risk by replacing solid surfaces with permeable surfaces, Reduced water use (e.g. install water butts, shorter showers), Talked to friends and family about climate change or actions I've taken</t>
  </si>
  <si>
    <t xml:space="preserve">Cycle path along main road from church lane to hockley
</t>
  </si>
  <si>
    <t>Greener Twyford Campaign  GTC</t>
  </si>
  <si>
    <t>The impact on my children and grandchildren, Loss of biodiversity, Floods and storms, Water shortages, Higher bills (higher prices of food, water, energy, etc.), Economic/political instability, Impacts of climate change on poorer communities elsewhere in the world</t>
  </si>
  <si>
    <t>Nature friendly gardening (e.g. planting wildflowers, rewilding, using peat-free compost), Reduced my travel, Installed insulation, Installed a greener heating system, Hired or borrowed items instead of buying, Reused or repaired items, Composted or recycled waste</t>
  </si>
  <si>
    <t>Nature friendly gardening (e.g. planting wildflowers, rewilding, using peat-free compost), Adopted a more climate-friendly diet (e.g. reduced meat consumption, buying local, buying food in season), Reduced my travel, Used lower carbon ways of travelling (e.g. walking, cycling, public transport), Reduced my energy use, Reused or repaired items, Composted or recycled waste, Reduced water use (e.g. install water butts, shorter showers), Reduced heat risk (e.g. additional planting, shading around my property), Joined a climate or environmental group, Support/donate to campaigns, organisations pro nature, fighting class mate change</t>
  </si>
  <si>
    <t>I feel stuck, It’s hard in face of international conflict, Trump’s scorn for climate activism and the difficulties letting go of fossil fuels around the world to feel our village can make a difference.</t>
  </si>
  <si>
    <t>Information about what I can do (including talks/demonstrations), Joining others with similar interests so we can create action together, Practical tasks or projects</t>
  </si>
  <si>
    <t>Create an actionable plan, maybe link with other effective or local groups, there are already some good initiatives going on.  Bring in experts to  share knowledge and ideas.</t>
  </si>
  <si>
    <t>Not at moment, sorry</t>
  </si>
  <si>
    <t>Floods and storms, Water shortages, Impacts of climate change on poorer communities elsewhere in the world</t>
  </si>
  <si>
    <t>Adopted a more climate-friendly diet (e.g. reduced meat consumption, buying local, buying food in season), Reduced my energy use, Hired or borrowed items instead of buying, Reused or repaired items, Composted or recycled waste</t>
  </si>
  <si>
    <t>Nature friendly gardening (e.g. planting wildflowers, rewilding, using peat-free compost), Adopted a more climate-friendly diet (e.g. reduced meat consumption, buying local, buying food in season), Reduced my travel, Used lower carbon ways of travelling (e.g. walking, cycling, public transport), Invested in an electric/hybrid car, Installed insulation, Hired or borrowed items instead of buying, Reused or repaired items, Composted or recycled waste, Reduced flood risk by replacing solid surfaces with permeable surfaces, Moved my money to sustainable banks or invested in sustainable funds, Talked to friends and family about climate change or actions I've taken</t>
  </si>
  <si>
    <t>I don't have the money, I feel stuck</t>
  </si>
  <si>
    <t>Lobbying for the b3335 to be 20mph, and action to protect the local rare chalk stream habit</t>
  </si>
  <si>
    <t>The impact on my children and grandchildren, Loss of biodiversity, Floods and storms, Impacts of climate change on poorer communities elsewhere in the world</t>
  </si>
  <si>
    <t>Nature friendly gardening (e.g. planting wildflowers, rewilding, using peat-free compost), Adopted a more climate-friendly diet (e.g. reduced meat consumption, buying local, buying food in season), Installed insulation, Installed a greener heating system, Reused or repaired items, Composted or recycled waste, Joined a climate or environmental group</t>
  </si>
  <si>
    <t>I don't know what I can do, I don't believe I can have an impact, I believe it's up to those in power to lead</t>
  </si>
  <si>
    <t>Information about what I can do (including talks/demonstrations), Joining others with similar interests so we can create action together, Setting up locally run projects or campaigns</t>
  </si>
  <si>
    <t>Spread awareness and ideas for reduce our climate impact as individuals and households. Providing options that we can take</t>
  </si>
  <si>
    <t>Nature friendly gardening (e.g. planting wildflowers, rewilding, using peat-free compost), Reduced water use (e.g. install water butts, shorter showers)</t>
  </si>
  <si>
    <t>The impact on my children and grandchildren, Loss of biodiversity, Floods and storms, Water shortages, Extreme heat/wildfires, Higher bills (higher prices of food, water, energy, etc.), Impacts of climate change on poorer communities elsewhere in the world, Climate migration</t>
  </si>
  <si>
    <t>Nature friendly gardening (e.g. planting wildflowers, rewilding, using peat-free compost), Invested in an electric/hybrid car, Composted or recycled waste, Reduced water use (e.g. install water butts, shorter showers), Talked to friends and family about climate change or actions I've taken</t>
  </si>
  <si>
    <t>Information about what I can do (including talks/demonstrations), Joining others with similar interests so we can create action together, Practical tasks or projects, Setting up locally run projects or campaigns, Attending protests</t>
  </si>
  <si>
    <t>Share knowledge and ideas</t>
  </si>
  <si>
    <t>Nature friendly gardening (e.g. planting wildflowers, rewilding, using peat-free compost), Used lower carbon ways of travelling (e.g. walking, cycling, public transport), Invested in an electric/hybrid car, Reduced my energy use, Installed insulation, Installed a greener heating system, Hired or borrowed items instead of buying, Reused or repaired items, Composted or recycled waste, Reduced water use (e.g. install water butts, shorter showers), Reduced heat risk (e.g. additional planting, shading around my property)</t>
  </si>
  <si>
    <t>Loss of biodiversity, Floods and storms, Water shortages, Extreme heat/wildfires, Higher bills (higher prices of food, water, energy, etc.), Economic/political instability, Impacts of climate change on poorer communities elsewhere in the world, Climate migration</t>
  </si>
  <si>
    <t>Nature friendly gardening (e.g. planting wildflowers, rewilding, using peat-free compost), Adopted a more climate-friendly diet (e.g. reduced meat consumption, buying local, buying food in season), Reduced my travel, Invested in an electric/hybrid car, Reduced my energy use, Installed insulation, Hired or borrowed items instead of buying, Reused or repaired items, Composted or recycled waste, Reduced flood risk by replacing solid surfaces with permeable surfaces, Reduced water use (e.g. install water butts, shorter showers), Reduced heat risk (e.g. additional planting, shading around my property), Moved my money to sustainable banks or invested in sustainable funds, Taken political action (e.g. written to MP, taken part in campaigns or protests), Joined a climate or environmental group, Talked to friends and family about climate change or actions I've taken</t>
  </si>
  <si>
    <t>I don't have the money, I don't have the time, The construction of my house means I can’t use an alternative heating system</t>
  </si>
  <si>
    <t>Information about what I can do (including talks/demonstrations), Joining others with similar interests so we can create action together, Opportunities to talk about my feelings about climate change, Practical tasks or projects, Attending protests</t>
  </si>
  <si>
    <t>Encourage recycling, invest in greener energy and help the community understand what they can do collectively and as an individual</t>
  </si>
  <si>
    <t>The Green Guardians of Twyford or Twyford Nature Collective,</t>
  </si>
  <si>
    <t>It has come to my attention that many people are starting to think climate change is a scam. I think it is important to help educate these people and how climate change is causing difficulties on our doorstep.</t>
  </si>
  <si>
    <t>Adopted a more climate-friendly diet (e.g. reduced meat consumption, buying local, buying food in season), Invested in an electric/hybrid car, Hired or borrowed items instead of buying, Reused or repaired items, Composted or recycled waste</t>
  </si>
  <si>
    <t>25-34</t>
  </si>
  <si>
    <t>The impact on my children and grandchildren, Floods and storms, Water shortages, Higher bills (higher prices of food, water, energy, etc.)</t>
  </si>
  <si>
    <t>Adopted a more climate-friendly diet (e.g. reduced meat consumption, buying local, buying food in season), Reduced my travel, Reused or repaired items, Reduced water use (e.g. install water butts, shorter showers)</t>
  </si>
  <si>
    <t>Reduce large vehicles using our village as a short cut to M3</t>
  </si>
  <si>
    <t>Floods and storms, Extreme heat/wildfires, Economic/political instability</t>
  </si>
  <si>
    <t>Adopted a more climate-friendly diet (e.g. reduced meat consumption, buying local, buying food in season), Reduced my travel, Used lower carbon ways of travelling (e.g. walking, cycling, public transport), Reduced my energy use, Installed insulation, Hired or borrowed items instead of buying, Reused or repaired items, Reduced water use (e.g. install water butts, shorter showers)</t>
  </si>
  <si>
    <t>I don't believe I can have an impact, I've done as much as I can</t>
  </si>
  <si>
    <t>Community energy projects</t>
  </si>
  <si>
    <t>The impact on my children and grandchildren, Economic/political instability</t>
  </si>
  <si>
    <t>Nature friendly gardening (e.g. planting wildflowers, rewilding, using peat-free compost), Adopted a more climate-friendly diet (e.g. reduced meat consumption, buying local, buying food in season), Used lower carbon ways of travelling (e.g. walking, cycling, public transport), Invested in an electric/hybrid car, Reduced my energy use, Installed insulation, Hired or borrowed items instead of buying, Reused or repaired items, Composted or recycled waste, Reduced water use (e.g. install water butts, shorter showers), Moved my money to sustainable banks or invested in sustainable funds</t>
  </si>
  <si>
    <t>Reduce, Reuse, Recycle</t>
  </si>
  <si>
    <t>The impact on my children and grandchildren, Loss of biodiversity, Floods and storms, Water shortages, Extreme heat/wildfires, Higher bills (higher prices of food, water, energy, etc.)</t>
  </si>
  <si>
    <t>Nature friendly gardening (e.g. planting wildflowers, rewilding, using peat-free compost), Reduced my travel, Installed insulation, Composted or recycled waste, Reduced flood risk by replacing solid surfaces with permeable surfaces, Talked to friends and family about climate change or actions I've taken</t>
  </si>
  <si>
    <t>Reduce traffic</t>
  </si>
  <si>
    <t>Water shortages</t>
  </si>
  <si>
    <t>Loss of biodiversity, Water shortages, Extreme heat/wildfires, Higher bills (higher prices of food, water, energy, etc.), Economic/political instability</t>
  </si>
  <si>
    <t>Reused or repaired items, Composted or recycled waste</t>
  </si>
  <si>
    <t>The impact on my children and grandchildren, Loss of biodiversity, Floods and storms, Higher bills (higher prices of food, water, energy, etc.), Economic/political instability</t>
  </si>
  <si>
    <t>Nature friendly gardening (e.g. planting wildflowers, rewilding, using peat-free compost), Adopted a more climate-friendly diet (e.g. reduced meat consumption, buying local, buying food in season), Reduced my travel, Used lower carbon ways of travelling (e.g. walking, cycling, public transport), Reduced my energy use, Installed insulation, Hired or borrowed items instead of buying, Reused or repaired items, Composted or recycled waste, Reduced flood risk by replacing solid surfaces with permeable surfaces, Reduced water use (e.g. install water butts, shorter showers), Reduced heat risk (e.g. additional planting, shading around my property), Taken political action (e.g. written to MP, taken part in campaigns or protests), Joined a climate or environmental group, Talked to friends and family about climate change or actions I've taken, Started a cycling business to bring more sustainable transport solutions to our community and beyond</t>
  </si>
  <si>
    <t>I don't have the money, I don't have the time, Those in power lack the true ambition to deliver meaningful and impactful climate change. Policies and schemes that suit politic points scoring but fail to address the real problems with joined up and practical solutions</t>
  </si>
  <si>
    <t>Information about what I can do (including talks/demonstrations), Joining others with similar interests so we can create action together, Sharing my skills and knowledge with others, Setting up locally run projects or campaigns</t>
  </si>
  <si>
    <t>Reduce car usage, promote healthy lifestyles for all, especially the young. Deliver infrastructure and financial support to make greener alternatives a viable option for more people.</t>
  </si>
  <si>
    <t>Twyford Wants it Greener (TWIG)</t>
  </si>
  <si>
    <t>Engagement from young people is essential. The future belongs to them but they’re under represented and therefore potentially under valued in our community. Engagement with all local organisations and bringing them together would be a great start.</t>
  </si>
  <si>
    <t>The impact on my children and grandchildren, Loss of biodiversity, Water shortages, Extreme heat/wildfires, Impacts of climate change on poorer communities elsewhere in the world</t>
  </si>
  <si>
    <t>Adopted a more climate-friendly diet (e.g. reduced meat consumption, buying local, buying food in season), Reduced my travel, Invested in an electric/hybrid car, Reduced my energy use, Installed insulation, Hired or borrowed items instead of buying, Composted or recycled waste, Taken political action (e.g. written to MP, taken part in campaigns or protests), Joined a climate or environmental group, Talked to friends and family about climate change or actions I've taken</t>
  </si>
  <si>
    <t>Joining others with similar interests so we can create action together, Practical tasks or projects, Setting up locally run projects or campaigns, Attending protests</t>
  </si>
  <si>
    <t>Nature friendly gardening (e.g. planting wildflowers, rewilding, using peat-free compost), Used lower carbon ways of travelling (e.g. walking, cycling, public transport), Installed insulation, Reused or repaired items, Composted or recycled waste, Talked to friends and family about climate change or actions I've taken</t>
  </si>
  <si>
    <t>Inform our colleagues, friends, family</t>
  </si>
  <si>
    <t>Twyford Be The Change</t>
  </si>
  <si>
    <t>The impact on my children and grandchildren, Loss of biodiversity, Floods and storms, Water shortages, Extreme heat/wildfires, Higher bills (higher prices of food, water, energy, etc.), Economic/political instability, Impacts of climate change on poorer communities elsewhere in the world</t>
  </si>
  <si>
    <t>Nature friendly gardening (e.g. planting wildflowers, rewilding, using peat-free compost), Adopted a more climate-friendly diet (e.g. reduced meat consumption, buying local, buying food in season), Composted or recycled waste, Reduced water use (e.g. install water butts, shorter showers), Joined a climate or environmental group, Talked to friends and family about climate change or actions I've taken</t>
  </si>
  <si>
    <t>Have. climate change in mind when making decisions.</t>
  </si>
  <si>
    <t>Nature friendly gardening (e.g. planting wildflowers, rewilding, using peat-free compost), Adopted a more climate-friendly diet (e.g. reduced meat consumption, buying local, buying food in season), Installed insulation, Installed a greener heating system, Composted or recycled waste, Reduced water use (e.g. install water butts, shorter showers), Moved my money to sustainable banks or invested in sustainable funds</t>
  </si>
  <si>
    <t>Recycle, recycle, recycle.</t>
  </si>
  <si>
    <t>Environmental Future Proofing Warriors</t>
  </si>
  <si>
    <t>Loss of biodiversity, Floods and storms, Water shortages, Extreme heat/wildfires, Impacts of climate change on poorer communities elsewhere in the world, Climate migration</t>
  </si>
  <si>
    <t>Nature friendly gardening (e.g. planting wildflowers, rewilding, using peat-free compost), Adopted a more climate-friendly diet (e.g. reduced meat consumption, buying local, buying food in season), Reduced my travel, Used lower carbon ways of travelling (e.g. walking, cycling, public transport), Reduced my energy use, Installed insulation, Hired or borrowed items instead of buying, Reused or repaired items, Composted or recycled waste, Reduced water use (e.g. install water butts, shorter showers), Reduced heat risk (e.g. additional planting, shading around my property), Moved my money to sustainable banks or invested in sustainable funds, Talked to friends and family about climate change or actions I've taken</t>
  </si>
  <si>
    <t>Work together to build wildlife corridors. Practical measures that can be seen rather than wasting breath on trying to influence those who won’t listen or generates hostility.</t>
  </si>
  <si>
    <t>Nature friendly gardening (e.g. planting wildflowers, rewilding, using peat-free compost), Adopted a more climate-friendly diet (e.g. reduced meat consumption, buying local, buying food in season), Reduced my travel, Invested in an electric/hybrid car, Reduced my energy use, Hired or borrowed items instead of buying, Reused or repaired items, Reduced water use (e.g. install water butts, shorter showers), Taken political action (e.g. written to MP, taken part in campaigns or protests), Joined a climate or environmental group</t>
  </si>
  <si>
    <t>Be creative and encourage</t>
  </si>
  <si>
    <t>Information about what I can do (including talks/demonstrations), Opportunities to talk about my feelings about climate change, Sharing my skills and knowledge with others, Setting up locally run projects or campaigns, Attending protests</t>
  </si>
  <si>
    <t>Numerous things</t>
  </si>
  <si>
    <t>The impact on my children and grandchildren, Loss of biodiversity, Floods and storms, Water shortages, Extreme heat/wildfires, Higher bills (higher prices of food, water, energy, etc.), Impacts of climate change on poorer communities elsewhere in the world</t>
  </si>
  <si>
    <t>Nature friendly gardening (e.g. planting wildflowers, rewilding, using peat-free compost), Adopted a more climate-friendly diet (e.g. reduced meat consumption, buying local, buying food in season), Used lower carbon ways of travelling (e.g. walking, cycling, public transport), Reused or repaired items, Composted or recycled waste, Reduced water use (e.g. install water butts, shorter showers)</t>
  </si>
  <si>
    <t>Better bus routes to Winchester  for those who live on the outskirts of the village which would reduce the car journeys</t>
  </si>
  <si>
    <t>Economic/political instability</t>
  </si>
  <si>
    <t>Reduced my travel, Used lower carbon ways of travelling (e.g. walking, cycling, public transport), Reduced my energy use, Installed insulation, Reused or repaired items</t>
  </si>
  <si>
    <t>Planning restrictions on solar</t>
  </si>
  <si>
    <t>Allowing solar panels on roofs in conservation areas</t>
  </si>
  <si>
    <t>Twyford Conservation  Community - TCC</t>
  </si>
  <si>
    <t>No</t>
  </si>
  <si>
    <t>The impact on my children and grandchildren, Floods and storms, Water shortages</t>
  </si>
  <si>
    <t>Nature friendly gardening, Adopted a more climate-friendly diet, Reduced my travel, Reused or repaired items, Composted or recycled waste, Reduced water use, Talked to friends and family about climate change or actions I've taken</t>
  </si>
  <si>
    <t>I believe it's up to those in power to lead, I've done as much as I can</t>
  </si>
  <si>
    <t>Nature friendly gardening, Reduced my energy use, Installed insulation, Installed a greener heating system, Composted or recycled waste, Reduced water use, Reduced heat risk</t>
  </si>
  <si>
    <t>I don't believe I can have an impact, I believe it's up to those in power to lead, Energy &amp; does it work</t>
  </si>
  <si>
    <t>?</t>
  </si>
  <si>
    <t>The impact on my children and grandchildren, Floods and storms, Water shortages, Economic/political instability, Impacts of climate change on poorer communities elsewhere in the world</t>
  </si>
  <si>
    <t>Nature friendly gardening, adopted a more climate-friendly diet, Reduced my travel, Reduced my energy use, Installed insulation, Hired or borrowed items instead of buying, Reused or repaired items, Composted or recycled waste, Reduced water use, Talked to my friends and family about climate change or actions I've taken</t>
  </si>
  <si>
    <t>The impact on my children and grandchildren, Loss of biodiversity, Floods and storms, Water shortages, Extreme heat/wildfires, Higher bills, Economic/political instability, Impacts of climate change on poorer communities elsewhere in the world, Climate migration</t>
  </si>
  <si>
    <t>Nature friendly gardening, Reduced my travel, Reused or repaired items, Composted or recycled waste, Reduced water use, Moved my money to sustainable banks or invested in sustainable funds, Talked to friends and family about climate change</t>
  </si>
  <si>
    <t>Information about what I can do, Practical tasks or projects, Sharing my skills and knowledge with others</t>
  </si>
  <si>
    <t>We have two schools in the village where many children are driven to
The worst offender is Twyford Prep. The sight of dozens of 4x4 vehicles is nausiating. The PC could ask the school if they have a green initiative to reduce vehicle numbers. Do they have a plan to introduce solar panels, such a policy should be on their web site.
The primary school does have green initiatives, could they be helped more re transport?</t>
  </si>
  <si>
    <t>Nature friendly gardening, Adopted a more climate-friendly diet, Reduced my travel, Reduced my energy use, Installed insulation, Reused or repaired items, Composted or recycled waste, Reduced water use, Reduced heat risk, Taken political action, Joined a climate or environmental group, Talked to friends and family about climate change or the actions I've taken</t>
  </si>
  <si>
    <t>Information about what I can do, Joining others with similar interest so we can create action together, Opportunities to talk about my feelings about climate change, Practical tasks or projects, Attending protests</t>
  </si>
  <si>
    <t>Reuse plastic bottles &amp; refill at village shop
Use the bus for travel into Winchester or Southampton. (&amp; Eastleigh???)
Educate our schoolchildren on environmental issues alongside clubs and uniformed organizations</t>
  </si>
  <si>
    <t>Twyford Action Group (TAG)</t>
  </si>
  <si>
    <t>Am a member of Winchester Action on Climate Crisis.
They have really good ideas and are very active. Could approach them for advice &amp; look at their website for ideas.
Action on Carbon in Twyford produced a leaflet on what we can do to reduce Twyfords household carbon footprint. See att. copy. [PAPER COPY PROVIDED]
Local villages have been advertising days when everyone has a clear out of good items no longer needed - put out in front of house and have a "Free For All" day</t>
  </si>
  <si>
    <t>The impact on my children and grandchildren, Loss of biodiversity, Floods and storms, Water shortages, Extreme heat/wildfires, Higher bills</t>
  </si>
  <si>
    <t>Nature friendly gardening, Used lower carbon ways of travelling, Installed insulation, Hired or borrowed items instead of buying, Reused or repaired items, Composted or recycled waste</t>
  </si>
  <si>
    <t>Nature friendly gardening, Adopted a more climate-friendly diet, Reduced my travel, Used lower carbon ways of travelling, Reduced my energy use, Installed insulation, Reused or repaired items, Composted or recycled waste, Reduced water use, Taken political action, Joined a climate or environmental group, Talked to friends and family about climate change</t>
  </si>
  <si>
    <t>As an affluent area I could imagine reducing food waste might have the biggest impact</t>
  </si>
  <si>
    <t>The Future of Twyford</t>
  </si>
  <si>
    <r>
      <t xml:space="preserve">Nature friendly gardening, Adopted a more climate-friendly diet, Reduced my travel, Used lower carbon ways of travelling, Reduced my energy use, Installed insulation, Reused or repaired items, Composted or recycled waste, Reduced water use, Reduced heat risk, Taken political action, Joined a climate or environmental group, Talked to friends and family about climate change or actions I've taken, </t>
    </r>
    <r>
      <rPr>
        <b/>
        <sz val="11"/>
        <color rgb="FF000000"/>
        <rFont val="Arial"/>
        <family val="2"/>
      </rPr>
      <t>Other: WE GAVE UP FLYING 23 YEARS AGO</t>
    </r>
  </si>
  <si>
    <t>Other: WE'RE STILL TRYING. HELPED START A COMMUNITY FARM</t>
  </si>
  <si>
    <t>Other: ALREADY INVOLVED WITH LOW CARBON, LOCAL FARMING</t>
  </si>
  <si>
    <t>Create a group to grow local fruit &amp; veg. Rent or buy a piece of land and grow sustainable, seasonal local food.</t>
  </si>
  <si>
    <t>Twyford Community Farm</t>
  </si>
  <si>
    <t>Nature friendly gardening, Adopted a more climate-friendly diet, Reduced my travel, Reduced my energy use, Installed insulation, Hired or borrowed items instead of buying, Reused or repaired items, Composted or recycled waste, Reduced water use, Taken political action, Talked to friends and family</t>
  </si>
  <si>
    <t>Other: I DON'T KNOW WHAT ELSE I CAN DO</t>
  </si>
  <si>
    <t>Loss of biodiversity, Extreme heat/wildfires</t>
  </si>
  <si>
    <t>Nature friendly gardening, Reduced my energy use, Installed insulation, Reused or repaired items, Composted or recycled waste, Reduced water use, Reduced heat risk</t>
  </si>
  <si>
    <t>Prefer not to answer</t>
  </si>
  <si>
    <t>The impact on my children and grandchildren, Loss of biodiversity, Floods and storms, Higher bills, Economic/political instability, Impacts of climate change on poorer communities elsewhere in the world, Climate migration</t>
  </si>
  <si>
    <t>Nature friendly gardening, Invested in an electric/hybrid car, Reduced my energy use, Installed insulation, Hired or borrowed items instead of buying, Reused or repaired items, Composted or recycled waste, Reduced water use, Taken political action</t>
  </si>
  <si>
    <t>Information about what I can do, Attending protests</t>
  </si>
  <si>
    <t>The impact on my children and grandchildren, Loss of biodiversity, Economic/political instability, Impacts of climate change on poorer communities elsewhere in the world</t>
  </si>
  <si>
    <t>Nature friendly gardening, Reduced my travel, Reduced my energy use, Reused or repaired items, Composted or recycled waste, Reduced water use</t>
  </si>
  <si>
    <r>
      <t xml:space="preserve">Adopted a more climate-friendly diet, Reused or repaired items, Composted or recycled waste, Reduced water use, Joined a climate or environmental group, Talked to friends and family about climate change, </t>
    </r>
    <r>
      <rPr>
        <b/>
        <sz val="11"/>
        <color rgb="FF000000"/>
        <rFont val="Arial"/>
        <family val="2"/>
      </rPr>
      <t>Other: WOEFULLY LITTLE! MUCH SCOPE TO IMPROVE, CLEARLY.</t>
    </r>
  </si>
  <si>
    <t>Other: LACK OF SUPPORT FROM THE FAMILY!</t>
  </si>
  <si>
    <t>Information about what I can do, Joining others with similar interest so we can create action together, Sharing my skills and knowledge with others</t>
  </si>
  <si>
    <t>More recycling facilities.
Community veg. allotment.
Regular repair cafe/event
Clothes swaps/mending
Skills swaps</t>
  </si>
  <si>
    <t>The impact on my children and grandchildren, Loss of biodiversity, Floods and storms, Extreme heat/wildfires, Economic/political instability</t>
  </si>
  <si>
    <t>Nature friendly gardening, Adopted a more climate-friendly diet, Used lower carbon ways of travelling, Composted or recycled waste, Reduced water use</t>
  </si>
  <si>
    <t>N/A</t>
  </si>
  <si>
    <t>The impact on my children and grandchildren, Loss of biodiversity, Extreme heat/wildfires, Higher bills, Economic/political instability</t>
  </si>
  <si>
    <t>Nature friendly gardening, Adopted a more climate-friendly diet, Invested in an electric/hybrid car, Hired or borrowed items instead of buying, Reused or repaired items, Composted or recycled waste, Reduced water use</t>
  </si>
  <si>
    <t>Information about what I can do, Practical tasks or projects</t>
  </si>
  <si>
    <t>Advocate for better bus transport and bike paths.
Plant more fruit trees, vegetables for community.</t>
  </si>
  <si>
    <t>Action green</t>
  </si>
  <si>
    <t>Loss of biodiversity, Floods and storms, Water shortages, Extreme heat/wildfires, Higher bills, Economic/political instability, Impacts of climate change on poorer communities elsewhere in the world, Climate migration</t>
  </si>
  <si>
    <t>Improve ease for cycling, particularly into Winchester.
Good recycling facilities.
Give advice to people about what they can in their own houses + gardens.
Repair cafe.
Discourate large lorries.
Provide information about food miles.</t>
  </si>
  <si>
    <t>Nature friendly gardening, Adopted a more climate friendly diet, Reduced my travel, Used lower carbon ways of travelling, Reduced my energy use, Installed insulation, Composted or recycled waste, Reduced water use</t>
  </si>
  <si>
    <t>Other: I DO WHAT I CAN BUT MORE NEEDS TO BE DONE BY COMPANIES I.E. LESS PLASTIC CONTAINERS</t>
  </si>
  <si>
    <t>Attending protests</t>
  </si>
  <si>
    <t>Use available land to plant native trees/plants to encourage wildlife locally.</t>
  </si>
  <si>
    <t>The impact on my children and grandchildren, Loss of biodiversity, Floods and storms, Water shortages, Extreme heat/wildfires, Higher bills, Impacts of climate change on poorer communities elsewhere in the world</t>
  </si>
  <si>
    <t>Nature friendly gardening, Reduced my energy use, Installed insulation, Composted or recycled waste, Reduced water use</t>
  </si>
  <si>
    <t>I don't have the money, I don't believe I can have an impact</t>
  </si>
  <si>
    <t>Village solar panel scheme (bulk order for those that need them)</t>
  </si>
  <si>
    <t>15 or younger, 35-44</t>
  </si>
  <si>
    <t>The impact on my childrenn and grandchildren, Loss of biodiversity, Floods and storms, Water shortages, Extreme heat/wildfires, Higher bills, Economic/political instability, Impacts of climate change on poorer communities elsewhere in the world, Climate migration</t>
  </si>
  <si>
    <t>Nature friendly gardening, Adopted a more climate-friendly diet, Reduced my travel, Used lower carbon ways of travelling, Installed insulation, Reused or repaired items, Composted or recycled waste, Reduced flood risk by replacing solid surfaces with permeable surfaces, Reduced water use</t>
  </si>
  <si>
    <t>Educate</t>
  </si>
  <si>
    <t>Loss of biodiversity, Floods and storms, Extreme heat/wildfires</t>
  </si>
  <si>
    <t>Reduced my travel, Reduced my energy use, Composted or recycled waste, Joined a climate or environmental group</t>
  </si>
  <si>
    <t>Information about what I can do</t>
  </si>
  <si>
    <t>Think the world needs to go green in ways that ordinary people can afford. Also important to green normal activities like going on holiday rather than expect massive behavioural change.
Thanks for asking.
David</t>
  </si>
  <si>
    <t>Loss of biodiversity, Floods and storms, Water shortages, Higher bills, Economic/political instability, Climate migration</t>
  </si>
  <si>
    <t>Reduced my travel, Used lower carbon ways of travelling, Invested in an electric/hybrid car, Composted or recycled waste</t>
  </si>
  <si>
    <t>I don't know what I can do, I don't have the time, I feel stuck</t>
  </si>
  <si>
    <t>Information about what I can do, Joining others with similar interests so we can create action together, Sharing my skills and knowledge with others</t>
  </si>
  <si>
    <t>Talk about small achievable changes which are to do w/daily routine. Include ppl from all walks of life + how small groups can come together. I.e. A communal compost?</t>
  </si>
  <si>
    <t>Twyford Environmental Association?
Twyford Environmental Action?</t>
  </si>
  <si>
    <t>DATA COMMENT: on question two respondent answered 3.5. This answer could not be represented, so has been rounded down to 3</t>
  </si>
  <si>
    <r>
      <t xml:space="preserve">The impact on my children and grandchildren, Loss of biodiversity, Floods and storms, Water shortages, Extreme heat/wildfires, Higher bills, Economic/political instability, Impacts of climate change on poorer communities elsewhere in the world, </t>
    </r>
    <r>
      <rPr>
        <b/>
        <sz val="11"/>
        <color rgb="FF000000"/>
        <rFont val="Arial"/>
        <family val="2"/>
      </rPr>
      <t>Other: PEOPLE NOT MAKING ANY EFFORT TO REDUCE FLYING, WORLD-TRAVEL USE OF VEHICLES. NOT KEEPING GRASS GARDENS, NOT PERMITTING DRAINAGE. CONCRETE OVER EVERYTHING.</t>
    </r>
  </si>
  <si>
    <t>Nature friendly gardening, adopted a more climat-friendly diet, Reduced my travel, used lower carbon ways of travelling, Installed insulation, Reused or repaired items, Composted or recycled waste, Reduced flood risk by replacing solid surfaces with permeable surfaces, Reduced water use, Reduced heat risk, Taken political action, Talked to family and friends about climate change or actions I've taken</t>
  </si>
  <si>
    <r>
      <t xml:space="preserve">I don't have the money, I don't have the time, </t>
    </r>
    <r>
      <rPr>
        <b/>
        <sz val="11"/>
        <color rgb="FF000000"/>
        <rFont val="Arial"/>
        <family val="2"/>
      </rPr>
      <t>Other: HEALTH PROBLEMS - WALKING, BLOOD PRESSURE, NEEDING TO HAVE ACCESS TO WC.</t>
    </r>
  </si>
  <si>
    <r>
      <t xml:space="preserve">Opportunities to talk about my feeligns about climate change, Sharing my skills and knowledge with others, Setting up locally run projects or campaigns, </t>
    </r>
    <r>
      <rPr>
        <b/>
        <sz val="11"/>
        <color rgb="FF000000"/>
        <rFont val="Arial"/>
        <family val="2"/>
      </rPr>
      <t>Other: LOOKING AFTER THE ENVIRONMENT. ATTENDING MEETINGS ENCOURAGING EDUCATION</t>
    </r>
  </si>
  <si>
    <t>Think carefully about what you do, recycle repair, help other people. Plant pollen encourage bees.</t>
  </si>
  <si>
    <t>Higher bills</t>
  </si>
  <si>
    <t>Nature friendly gardening, Adopted a more climate-friendly diet, Reused or repaired items, Reduced water use</t>
  </si>
  <si>
    <t>The impact on my children and grandchildren, Floods and storms, Water shortages, Extreme heat/wildfires, Impacts of climate change on poorer communities elsewhere in the world</t>
  </si>
  <si>
    <t>Adopted a more climate-friendly diet, used lower carbon ways of travelling, Reduced my energy use, Reused or repaired items, Reduced water use</t>
  </si>
  <si>
    <t>Use public transport</t>
  </si>
  <si>
    <t>The impact on my children and grandchildren, Water shortages, Economic/political instability</t>
  </si>
  <si>
    <t>Nature friendly gardening, Reused or repaired items, Composted or recycled waste, Reduced water use, Talked to friends and family about climate change or actions I've taken, Other:</t>
  </si>
  <si>
    <t>Joining others with similar interests so we can create action together, Setting up locally run projects or campaigns</t>
  </si>
  <si>
    <t>Better parking near the shop.</t>
  </si>
  <si>
    <t>DATA COMMENT: respondent answered question three with concern over loss of biodiversity and economic/political instability, but emphasised that these concerns were to a lesser degree than the 3 primary concerns</t>
  </si>
  <si>
    <t>Floods and storms, Water shortages, Extreme heat/wildfires</t>
  </si>
  <si>
    <t>Nature friendly gardening, Adopted a more climate-friendly diet, Reduced my travel, used lower carbon ways of travelling, Reused or repaired items, Composted or recycled waste, Reduced water use</t>
  </si>
  <si>
    <r>
      <t xml:space="preserve">I believe it's up to those in power to lead, </t>
    </r>
    <r>
      <rPr>
        <b/>
        <sz val="11"/>
        <color rgb="FF000000"/>
        <rFont val="Arial"/>
        <family val="2"/>
      </rPr>
      <t>Other: WE DO AS MUCH AS WE CAN</t>
    </r>
  </si>
  <si>
    <r>
      <t xml:space="preserve">None of the above, </t>
    </r>
    <r>
      <rPr>
        <b/>
        <sz val="11"/>
        <color rgb="FF000000"/>
        <rFont val="Arial"/>
        <family val="2"/>
      </rPr>
      <t>Other: WE JUST DO OUR BIT</t>
    </r>
  </si>
  <si>
    <t>- slow traffic
- cut out unecessary travel &amp; printing (ie canvassing!!)
- improve bus service
- improve/provide direct milk route
[DATA COMMENT: best interpretation of letters]</t>
  </si>
  <si>
    <t>The impact on my children and grandchildren, Loss of biodiversity, Floods and storms, Water shortages, Extreme heat/wildfires, Higher bills, Impacts of climate change on poorer communities elsewhere in the world, climate migration</t>
  </si>
  <si>
    <t>Nature friendly gardening, Adopted a more climate-friendly diet, Reduced my energy use, Reused or repaired items, Composted or recycled waste, Reduced water use, Joined a climate or environmental group, Talked to friends and family about climate change or actions I've taken</t>
  </si>
  <si>
    <t>I don't have the money, I don't have the time, I believe it's up to those in power to lead, I've done as much as I can</t>
  </si>
  <si>
    <t>Reduce traffic [UNCLEAR] village
introduce 20mph speed limit [UNCLEAR] village
Encourage biodiversity. Water re-use. Tree planting.</t>
  </si>
  <si>
    <t>Twyford Future Climate Group (TFCG)</t>
  </si>
  <si>
    <t>The impact on my children and grandchildren, Loss of biodiversity, Floods and storms, Water shortages, Extreme heat/wildfires, Impacts of climate change on poorer communities elsewhere in the world, Climate migration</t>
  </si>
  <si>
    <t>Nature friendly gardening, Adopted a more climate-friendly diet, Reduced my travel, used lower carbon ways of travelling, Reduced my energy use, Installed insulation, Reused or repaired items, Composted or recycled waste, Reduced water use, Talked to friends and family about climate change or actions I've taken</t>
  </si>
  <si>
    <t>I don't have the money, I don't havce the time</t>
  </si>
  <si>
    <t>Information about what I can do, Joining others with similar interests so we can create action together, Opportunities to talk about my feelings about climate change, Practical tasks or projects</t>
  </si>
  <si>
    <t>Pushing the council for better public transport
Continue pressing for a 20mph speed limit.
Car ownership. Families have 2 or 3 cars in the village, usually SUVs which are completely unnecessary - they are not transporting sheep etc. Just status symbols - How does one stop it though!</t>
  </si>
  <si>
    <t>Q4 - I despair when I listen to folk in the village, who drive enormous cars, talking about their next holiday in the Bahamas!
Or going on a cruise.
I have no idea what to say to them without being confrontational. Do they know there is an environmental emergency. They don't seem to want to confront the situation.</t>
  </si>
  <si>
    <t>Format</t>
  </si>
  <si>
    <t>DATA COMMENTS</t>
  </si>
  <si>
    <t>Digital</t>
  </si>
  <si>
    <t>Paper</t>
  </si>
  <si>
    <t>DATA COMMENT: Paper copy of ACT leaflet attached to survey</t>
  </si>
  <si>
    <t>Q1</t>
  </si>
  <si>
    <t>Respondent</t>
  </si>
  <si>
    <t>Frequency</t>
  </si>
  <si>
    <t>Business</t>
  </si>
  <si>
    <t>Unknown</t>
  </si>
  <si>
    <t>TOTAL NO</t>
  </si>
  <si>
    <t>Q2</t>
  </si>
  <si>
    <t>Number</t>
  </si>
  <si>
    <t>Q3</t>
  </si>
  <si>
    <t>What are your biggest concerns about the effects of climate change?</t>
  </si>
  <si>
    <t>Concern</t>
  </si>
  <si>
    <t>Impact on future generations</t>
  </si>
  <si>
    <t>NOTE TO SELF: HOW TO INCLUDE "OTHER" RESPONSES??</t>
  </si>
  <si>
    <t>Loss of biodiversity</t>
  </si>
  <si>
    <t>Floods and storms</t>
  </si>
  <si>
    <t>Extreme heat/wildfires</t>
  </si>
  <si>
    <t>Impacts on poorer communities in the world</t>
  </si>
  <si>
    <t>Climate migration</t>
  </si>
  <si>
    <t>Q4</t>
  </si>
  <si>
    <t>What steps have you/your household/your business taken to reduce the impact of climate change?</t>
  </si>
  <si>
    <t>Step</t>
  </si>
  <si>
    <t>Nature friendly gardening</t>
  </si>
  <si>
    <t>Adopted a more climate-friendly diet</t>
  </si>
  <si>
    <t>Reduced my travel</t>
  </si>
  <si>
    <t>Used lower carbon ways of travelling</t>
  </si>
  <si>
    <t>Invested in an electric/hybrid car</t>
  </si>
  <si>
    <t>Reduced my energy use</t>
  </si>
  <si>
    <t>Installed insulation</t>
  </si>
  <si>
    <t>Installed a greener heating system</t>
  </si>
  <si>
    <t>Hired or borrowed items instead of buying</t>
  </si>
  <si>
    <t>Reused or repaired items</t>
  </si>
  <si>
    <t>Reduced flood risk</t>
  </si>
  <si>
    <t>Reduced water use</t>
  </si>
  <si>
    <t>Reduced heat risk</t>
  </si>
  <si>
    <t>Sustainable banking/investment</t>
  </si>
  <si>
    <t>Taken political action</t>
  </si>
  <si>
    <t>Joined a climate/environmental group</t>
  </si>
  <si>
    <t>Talked to friends and family</t>
  </si>
  <si>
    <t>AGAIN: HOW TO INCLUDE "OTHER"?</t>
  </si>
  <si>
    <t>Q5</t>
  </si>
  <si>
    <t>What are the things that hold you back from doing more?</t>
  </si>
  <si>
    <t>Thing</t>
  </si>
  <si>
    <t>I don't like thinking about climate change</t>
  </si>
  <si>
    <t>Q6</t>
  </si>
  <si>
    <t>I'd potentially be interested in</t>
  </si>
  <si>
    <t>Interest</t>
  </si>
  <si>
    <t>Joining others with similar interests so we can create action together</t>
  </si>
  <si>
    <t>Opportunities to talk about my feelings about climate change</t>
  </si>
  <si>
    <t>Sharing my skills and knowledge with others</t>
  </si>
  <si>
    <t>Q10</t>
  </si>
  <si>
    <t>What is your age?</t>
  </si>
  <si>
    <t>Age</t>
  </si>
  <si>
    <t>CAUTION: CHARTS NOT FULLY REPRESENTATIVE OF RAW RESPONSES - "OTHER" RESPONSES AND QUESTIONS 7-9 NOT REPRESENTABLE BY CHARTS AND SHOULD BE EXPLORED IN RESPONSES TABLE</t>
  </si>
  <si>
    <t>No. Respondents:</t>
  </si>
  <si>
    <t>q2 mean:</t>
  </si>
  <si>
    <t>PLEASE BE AWARE:</t>
  </si>
  <si>
    <t>These charts are an incomplete representation of the raw data.</t>
  </si>
  <si>
    <t>Many questions allowed participants to respond with "Other", and then provide a custom response.</t>
  </si>
  <si>
    <t>These charts do not represent the "other" responses.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</si>
</sst>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m/d/yyyy&quot; &quot;h&quot;:&quot;mm&quot;:&quot;ss"/>
  </numFmts>
  <fonts count="19">
    <font>
      <sz val="10"/>
      <color theme="1"/>
      <name val="Liberation Sans"/>
    </font>
    <font>
      <sz val="10"/>
      <color rgb="FF000000"/>
      <name val="Arial"/>
      <family val="2"/>
    </font>
    <font>
      <b/>
      <sz val="10"/>
      <color rgb="FF000000"/>
      <name val="Arial"/>
      <family val="2"/>
    </font>
    <font>
      <sz val="10"/>
      <color rgb="FFFFFFFF"/>
      <name val="Arial"/>
      <family val="2"/>
    </font>
    <font>
      <sz val="10"/>
      <color rgb="FFCC0000"/>
      <name val="Arial"/>
      <family val="2"/>
    </font>
    <font>
      <b/>
      <sz val="10"/>
      <color rgb="FFFFFFFF"/>
      <name val="Arial"/>
      <family val="2"/>
    </font>
    <font>
      <i/>
      <sz val="10"/>
      <color rgb="FF808080"/>
      <name val="Arial"/>
      <family val="2"/>
    </font>
    <font>
      <sz val="10"/>
      <color rgb="FF006600"/>
      <name val="Arial"/>
      <family val="2"/>
    </font>
    <font>
      <b/>
      <sz val="24"/>
      <color rgb="FF000000"/>
      <name val="Arial"/>
      <family val="2"/>
    </font>
    <font>
      <sz val="18"/>
      <color rgb="FF000000"/>
      <name val="Arial"/>
      <family val="2"/>
    </font>
    <font>
      <sz val="12"/>
      <color rgb="FF000000"/>
      <name val="Arial"/>
      <family val="2"/>
    </font>
    <font>
      <u/>
      <sz val="10"/>
      <color rgb="FF0000EE"/>
      <name val="Arial"/>
      <family val="2"/>
    </font>
    <font>
      <sz val="10"/>
      <color rgb="FF996600"/>
      <name val="Arial"/>
      <family val="2"/>
    </font>
    <font>
      <sz val="10"/>
      <color rgb="FF333333"/>
      <name val="Arial"/>
      <family val="2"/>
    </font>
    <font>
      <b/>
      <i/>
      <u/>
      <sz val="10"/>
      <color rgb="FF000000"/>
      <name val="Arial"/>
      <family val="2"/>
    </font>
    <font>
      <sz val="11"/>
      <color rgb="FF000000"/>
      <name val="Arial"/>
      <family val="2"/>
    </font>
    <font>
      <b/>
      <sz val="11"/>
      <color rgb="FF000000"/>
      <name val="Arial"/>
      <family val="2"/>
    </font>
    <font>
      <sz val="11"/>
      <color rgb="FFFF0000"/>
      <name val="Arial"/>
      <family val="2"/>
    </font>
    <font>
      <b/>
      <sz val="11"/>
      <color rgb="FFFF0000"/>
      <name val="Arial"/>
      <family val="2"/>
    </font>
  </fonts>
  <fills count="12">
    <fill>
      <patternFill patternType="none"/>
    </fill>
    <fill>
      <patternFill patternType="gray125"/>
    </fill>
    <fill>
      <patternFill patternType="solid">
        <fgColor rgb="FF000000"/>
        <bgColor rgb="FF000000"/>
      </patternFill>
    </fill>
    <fill>
      <patternFill patternType="solid">
        <fgColor rgb="FF808080"/>
        <bgColor rgb="FF808080"/>
      </patternFill>
    </fill>
    <fill>
      <patternFill patternType="solid">
        <fgColor rgb="FFDDDDDD"/>
        <bgColor rgb="FFDDDDDD"/>
      </patternFill>
    </fill>
    <fill>
      <patternFill patternType="solid">
        <fgColor rgb="FFFFCCCC"/>
        <bgColor rgb="FFFFCCCC"/>
      </patternFill>
    </fill>
    <fill>
      <patternFill patternType="solid">
        <fgColor rgb="FFCC0000"/>
        <bgColor rgb="FFCC0000"/>
      </patternFill>
    </fill>
    <fill>
      <patternFill patternType="solid">
        <fgColor rgb="FFCCFFCC"/>
        <bgColor rgb="FFCCFFCC"/>
      </patternFill>
    </fill>
    <fill>
      <patternFill patternType="solid">
        <fgColor rgb="FFFFFFCC"/>
        <bgColor rgb="FFFFFFCC"/>
      </patternFill>
    </fill>
    <fill>
      <patternFill patternType="solid">
        <fgColor rgb="FF77BC65"/>
        <bgColor rgb="FF77BC65"/>
      </patternFill>
    </fill>
    <fill>
      <patternFill patternType="solid">
        <fgColor rgb="FFDEE6EF"/>
        <bgColor rgb="FFDEE6EF"/>
      </patternFill>
    </fill>
    <fill>
      <patternFill patternType="solid">
        <fgColor rgb="FFCFE2F3"/>
        <bgColor rgb="FFCFE2F3"/>
      </patternFill>
    </fill>
  </fills>
  <borders count="11">
    <border>
      <left/>
      <right/>
      <top/>
      <bottom/>
      <diagonal/>
    </border>
    <border>
      <left style="thin">
        <color rgb="FF808080"/>
      </left>
      <right style="thin">
        <color rgb="FF808080"/>
      </right>
      <top style="thin">
        <color rgb="FF808080"/>
      </top>
      <bottom style="thin">
        <color rgb="FF808080"/>
      </bottom>
      <diagonal/>
    </border>
    <border>
      <left style="thin">
        <color rgb="FF000000"/>
      </left>
      <right style="thin">
        <color rgb="FF000000"/>
      </right>
      <top style="thin">
        <color rgb="FF000000"/>
      </top>
      <bottom style="thin">
        <color rgb="FF000000"/>
      </bottom>
      <diagonal/>
    </border>
    <border>
      <left style="thin">
        <color rgb="FF000000"/>
      </left>
      <right/>
      <top style="thin">
        <color rgb="FF000000"/>
      </top>
      <bottom/>
      <diagonal/>
    </border>
    <border>
      <left/>
      <right/>
      <top style="thin">
        <color rgb="FF000000"/>
      </top>
      <bottom/>
      <diagonal/>
    </border>
    <border>
      <left/>
      <right style="thin">
        <color rgb="FF000000"/>
      </right>
      <top style="thin">
        <color rgb="FF000000"/>
      </top>
      <bottom/>
      <diagonal/>
    </border>
    <border>
      <left style="thin">
        <color rgb="FF000000"/>
      </left>
      <right/>
      <top/>
      <bottom/>
      <diagonal/>
    </border>
    <border>
      <left/>
      <right style="thin">
        <color rgb="FF000000"/>
      </right>
      <top/>
      <bottom/>
      <diagonal/>
    </border>
    <border>
      <left style="thin">
        <color rgb="FF000000"/>
      </left>
      <right/>
      <top/>
      <bottom style="thin">
        <color rgb="FF000000"/>
      </bottom>
      <diagonal/>
    </border>
    <border>
      <left/>
      <right/>
      <top/>
      <bottom style="thin">
        <color rgb="FF000000"/>
      </bottom>
      <diagonal/>
    </border>
    <border>
      <left/>
      <right style="thin">
        <color rgb="FF000000"/>
      </right>
      <top/>
      <bottom style="thin">
        <color rgb="FF000000"/>
      </bottom>
      <diagonal/>
    </border>
  </borders>
  <cellStyleXfs count="20">
    <xf numFmtId="0" fontId="0" fillId="0" borderId="0"/>
    <xf numFmtId="0" fontId="9" fillId="0" borderId="0" applyNumberFormat="0" applyFill="0" applyBorder="0" applyProtection="0"/>
    <xf numFmtId="0" fontId="10" fillId="0" borderId="0" applyNumberFormat="0" applyFill="0" applyBorder="0" applyProtection="0"/>
    <xf numFmtId="0" fontId="7" fillId="7" borderId="0" applyNumberFormat="0" applyBorder="0" applyProtection="0"/>
    <xf numFmtId="0" fontId="4" fillId="5" borderId="0" applyNumberFormat="0" applyBorder="0" applyProtection="0"/>
    <xf numFmtId="0" fontId="12" fillId="8" borderId="0" applyNumberFormat="0" applyBorder="0" applyProtection="0"/>
    <xf numFmtId="0" fontId="13" fillId="8" borderId="1" applyNumberFormat="0" applyProtection="0"/>
    <xf numFmtId="0" fontId="2" fillId="0" borderId="0" applyNumberFormat="0" applyFill="0" applyBorder="0" applyProtection="0"/>
    <xf numFmtId="0" fontId="3" fillId="2" borderId="0" applyNumberFormat="0" applyBorder="0" applyProtection="0"/>
    <xf numFmtId="0" fontId="3" fillId="3" borderId="0" applyNumberFormat="0" applyBorder="0" applyProtection="0"/>
    <xf numFmtId="0" fontId="2" fillId="4" borderId="0" applyNumberFormat="0" applyBorder="0" applyProtection="0"/>
    <xf numFmtId="0" fontId="1" fillId="0" borderId="0" applyNumberFormat="0" applyFill="0" applyBorder="0" applyProtection="0"/>
    <xf numFmtId="0" fontId="5" fillId="6" borderId="0" applyNumberFormat="0" applyBorder="0" applyProtection="0"/>
    <xf numFmtId="0" fontId="6" fillId="0" borderId="0" applyNumberFormat="0" applyFill="0" applyBorder="0" applyProtection="0"/>
    <xf numFmtId="0" fontId="8" fillId="0" borderId="0" applyNumberFormat="0" applyFill="0" applyBorder="0" applyProtection="0"/>
    <xf numFmtId="0" fontId="11" fillId="0" borderId="0" applyNumberFormat="0" applyFill="0" applyBorder="0" applyProtection="0"/>
    <xf numFmtId="0" fontId="14" fillId="0" borderId="0" applyNumberFormat="0" applyFill="0" applyBorder="0" applyProtection="0"/>
    <xf numFmtId="0" fontId="1" fillId="0" borderId="0" applyNumberFormat="0" applyFill="0" applyBorder="0" applyProtection="0"/>
    <xf numFmtId="0" fontId="1" fillId="0" borderId="0" applyNumberFormat="0" applyFill="0" applyBorder="0" applyProtection="0"/>
    <xf numFmtId="0" fontId="4" fillId="0" borderId="0" applyNumberFormat="0" applyFill="0" applyBorder="0" applyProtection="0"/>
  </cellStyleXfs>
  <cellXfs count="37">
    <xf numFmtId="0" fontId="0" fillId="0" borderId="0" xfId="0"/>
    <xf numFmtId="0" fontId="10" fillId="0" borderId="0" xfId="11" applyFont="1"/>
    <xf numFmtId="0" fontId="15" fillId="0" borderId="0" xfId="11" applyFont="1" applyAlignment="1">
      <alignment horizontal="left" vertical="center"/>
    </xf>
    <xf numFmtId="0" fontId="1" fillId="0" borderId="0" xfId="11"/>
    <xf numFmtId="164" fontId="15" fillId="0" borderId="0" xfId="11" applyNumberFormat="1" applyFont="1" applyAlignment="1">
      <alignment vertical="center"/>
    </xf>
    <xf numFmtId="0" fontId="15" fillId="0" borderId="0" xfId="11" applyFont="1" applyAlignment="1">
      <alignment vertical="center"/>
    </xf>
    <xf numFmtId="0" fontId="15" fillId="0" borderId="0" xfId="11" applyFont="1" applyAlignment="1">
      <alignment wrapText="1"/>
    </xf>
    <xf numFmtId="0" fontId="16" fillId="0" borderId="0" xfId="11" applyFont="1" applyAlignment="1">
      <alignment wrapText="1"/>
    </xf>
    <xf numFmtId="0" fontId="16" fillId="9" borderId="0" xfId="11" applyFont="1" applyFill="1" applyAlignment="1"/>
    <xf numFmtId="164" fontId="16" fillId="9" borderId="0" xfId="11" applyNumberFormat="1" applyFont="1" applyFill="1"/>
    <xf numFmtId="0" fontId="16" fillId="9" borderId="0" xfId="11" applyFont="1" applyFill="1"/>
    <xf numFmtId="0" fontId="16" fillId="9" borderId="0" xfId="11" applyFont="1" applyFill="1" applyAlignment="1">
      <alignment horizontal="left"/>
    </xf>
    <xf numFmtId="0" fontId="2" fillId="9" borderId="0" xfId="11" applyFont="1" applyFill="1"/>
    <xf numFmtId="164" fontId="15" fillId="0" borderId="0" xfId="11" applyNumberFormat="1" applyFont="1" applyAlignment="1">
      <alignment wrapText="1"/>
    </xf>
    <xf numFmtId="0" fontId="15" fillId="0" borderId="0" xfId="11" applyFont="1" applyAlignment="1">
      <alignment horizontal="center" wrapText="1"/>
    </xf>
    <xf numFmtId="0" fontId="15" fillId="0" borderId="0" xfId="11" applyFont="1" applyAlignment="1">
      <alignment vertical="top" wrapText="1"/>
    </xf>
    <xf numFmtId="0" fontId="1" fillId="0" borderId="0" xfId="11" applyAlignment="1">
      <alignment horizontal="center"/>
    </xf>
    <xf numFmtId="0" fontId="15" fillId="0" borderId="0" xfId="11" applyFont="1" applyAlignment="1"/>
    <xf numFmtId="0" fontId="15" fillId="0" borderId="0" xfId="11" applyFont="1"/>
    <xf numFmtId="0" fontId="17" fillId="0" borderId="0" xfId="11" applyFont="1" applyAlignment="1"/>
    <xf numFmtId="0" fontId="18" fillId="10" borderId="0" xfId="11" applyFont="1" applyFill="1" applyAlignment="1"/>
    <xf numFmtId="0" fontId="15" fillId="10" borderId="0" xfId="11" applyFont="1" applyFill="1"/>
    <xf numFmtId="0" fontId="1" fillId="10" borderId="0" xfId="11" applyFill="1"/>
    <xf numFmtId="0" fontId="15" fillId="11" borderId="2" xfId="11" applyFont="1" applyFill="1" applyBorder="1" applyAlignment="1">
      <alignment horizontal="right"/>
    </xf>
    <xf numFmtId="0" fontId="15" fillId="11" borderId="2" xfId="11" applyFont="1" applyFill="1" applyBorder="1" applyAlignment="1">
      <alignment horizontal="left"/>
    </xf>
    <xf numFmtId="0" fontId="18" fillId="0" borderId="0" xfId="11" applyFont="1" applyAlignment="1"/>
    <xf numFmtId="0" fontId="15" fillId="0" borderId="0" xfId="11" applyFont="1" applyAlignment="1">
      <alignment horizontal="right"/>
    </xf>
    <xf numFmtId="0" fontId="15" fillId="0" borderId="0" xfId="11" applyFont="1" applyAlignment="1">
      <alignment horizontal="left"/>
    </xf>
    <xf numFmtId="0" fontId="18" fillId="11" borderId="3" xfId="11" applyFont="1" applyFill="1" applyBorder="1" applyAlignment="1"/>
    <xf numFmtId="0" fontId="15" fillId="11" borderId="4" xfId="11" applyFont="1" applyFill="1" applyBorder="1"/>
    <xf numFmtId="0" fontId="15" fillId="11" borderId="5" xfId="11" applyFont="1" applyFill="1" applyBorder="1"/>
    <xf numFmtId="0" fontId="15" fillId="11" borderId="6" xfId="11" applyFont="1" applyFill="1" applyBorder="1" applyAlignment="1"/>
    <xf numFmtId="0" fontId="15" fillId="11" borderId="0" xfId="11" applyFont="1" applyFill="1"/>
    <xf numFmtId="0" fontId="15" fillId="11" borderId="7" xfId="11" applyFont="1" applyFill="1" applyBorder="1"/>
    <xf numFmtId="0" fontId="15" fillId="11" borderId="8" xfId="11" applyFont="1" applyFill="1" applyBorder="1" applyAlignment="1"/>
    <xf numFmtId="0" fontId="15" fillId="11" borderId="9" xfId="11" applyFont="1" applyFill="1" applyBorder="1"/>
    <xf numFmtId="0" fontId="15" fillId="11" borderId="10" xfId="11" applyFont="1" applyFill="1" applyBorder="1"/>
  </cellXfs>
  <cellStyles count="20">
    <cellStyle name="Accent" xfId="7" xr:uid="{E35DC546-EEEC-4E73-B3DD-0A6CF72533DA}"/>
    <cellStyle name="Accent 1" xfId="8" xr:uid="{01749382-F2A3-4341-89AB-067BB1156A99}"/>
    <cellStyle name="Accent 2" xfId="9" xr:uid="{9C624C77-E3DA-432D-B481-7DF3FE810032}"/>
    <cellStyle name="Accent 3" xfId="10" xr:uid="{BF2A8079-576C-4933-BA66-EE22A5D00B1E}"/>
    <cellStyle name="Bad" xfId="4" builtinId="27" customBuiltin="1"/>
    <cellStyle name="Default" xfId="11" xr:uid="{2C2E4340-9629-4E3F-AD24-200AE0FD68C4}"/>
    <cellStyle name="Error" xfId="12" xr:uid="{B54F0D8A-19AC-48E7-8F4D-CE7230C4080A}"/>
    <cellStyle name="Footnote" xfId="13" xr:uid="{52BAC02C-EA73-4A09-8686-B738799BED9B}"/>
    <cellStyle name="Good" xfId="3" builtinId="26" customBuiltin="1"/>
    <cellStyle name="Heading" xfId="14" xr:uid="{5430A61E-3CE0-4F66-9FBA-AF227BABF917}"/>
    <cellStyle name="Heading 1" xfId="1" builtinId="16" customBuiltin="1"/>
    <cellStyle name="Heading 2" xfId="2" builtinId="17" customBuiltin="1"/>
    <cellStyle name="Hyperlink" xfId="15" xr:uid="{1A272409-BC94-45D7-A2C4-3E32E1DDBF4F}"/>
    <cellStyle name="Neutral" xfId="5" builtinId="28" customBuiltin="1"/>
    <cellStyle name="Normal" xfId="0" builtinId="0" customBuiltin="1"/>
    <cellStyle name="Note" xfId="6" builtinId="10" customBuiltin="1"/>
    <cellStyle name="Result" xfId="16" xr:uid="{2B9E5049-35B0-4D4A-8E25-F74CF3947402}"/>
    <cellStyle name="Status" xfId="17" xr:uid="{01400D9A-10CF-45CB-9AB3-BA57CBBBEAE0}"/>
    <cellStyle name="Text" xfId="18" xr:uid="{22713193-C360-4BD3-9C03-B02A13384161}"/>
    <cellStyle name="Warning" xfId="19" xr:uid="{78DBC70E-573B-4D99-92C2-4753E40A05C6}"/>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10" Type="http://schemas.openxmlformats.org/officeDocument/2006/relationships/calcChain" Target="calcChain.xml"/><Relationship Id="rId4" Type="http://schemas.openxmlformats.org/officeDocument/2006/relationships/worksheet" Target="worksheets/sheet4.xml"/><Relationship Id="rId9" Type="http://schemas.openxmlformats.org/officeDocument/2006/relationships/sharedStrings" Target="sharedStrings.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GB"/>
  <c:roundedCorners val="0"/>
  <c:style val="2"/>
  <c:chart>
    <c:title>
      <c:tx>
        <c:rich>
          <a:bodyPr/>
          <a:lstStyle/>
          <a:p>
            <a:pPr>
              <a:defRPr sz="1300" b="0"/>
            </a:pPr>
            <a:r>
              <a:rPr lang="en-GB"/>
              <a:t>Q1: Are you answering as an individual, household, or business?</a:t>
            </a:r>
          </a:p>
        </c:rich>
      </c:tx>
      <c:overlay val="0"/>
    </c:title>
    <c:autoTitleDeleted val="0"/>
    <c:plotArea>
      <c:layout/>
      <c:pieChart>
        <c:varyColors val="1"/>
        <c:ser>
          <c:idx val="0"/>
          <c:order val="0"/>
          <c:dPt>
            <c:idx val="0"/>
            <c:bubble3D val="0"/>
            <c:spPr>
              <a:solidFill>
                <a:srgbClr val="4285F4"/>
              </a:solidFill>
            </c:spPr>
            <c:extLst>
              <c:ext xmlns:c16="http://schemas.microsoft.com/office/drawing/2014/chart" uri="{C3380CC4-5D6E-409C-BE32-E72D297353CC}">
                <c16:uniqueId val="{00000001-15B9-4937-890E-473EAFB7F069}"/>
              </c:ext>
            </c:extLst>
          </c:dPt>
          <c:dPt>
            <c:idx val="1"/>
            <c:bubble3D val="0"/>
            <c:spPr>
              <a:solidFill>
                <a:srgbClr val="EA4335"/>
              </a:solidFill>
            </c:spPr>
            <c:extLst>
              <c:ext xmlns:c16="http://schemas.microsoft.com/office/drawing/2014/chart" uri="{C3380CC4-5D6E-409C-BE32-E72D297353CC}">
                <c16:uniqueId val="{00000002-15B9-4937-890E-473EAFB7F069}"/>
              </c:ext>
            </c:extLst>
          </c:dPt>
          <c:dPt>
            <c:idx val="2"/>
            <c:bubble3D val="0"/>
            <c:spPr>
              <a:solidFill>
                <a:srgbClr val="FBBC04"/>
              </a:solidFill>
            </c:spPr>
            <c:extLst>
              <c:ext xmlns:c16="http://schemas.microsoft.com/office/drawing/2014/chart" uri="{C3380CC4-5D6E-409C-BE32-E72D297353CC}">
                <c16:uniqueId val="{00000003-15B9-4937-890E-473EAFB7F069}"/>
              </c:ext>
            </c:extLst>
          </c:dPt>
          <c:dPt>
            <c:idx val="3"/>
            <c:bubble3D val="0"/>
            <c:spPr>
              <a:solidFill>
                <a:srgbClr val="34A853"/>
              </a:solidFill>
            </c:spPr>
            <c:extLst>
              <c:ext xmlns:c16="http://schemas.microsoft.com/office/drawing/2014/chart" uri="{C3380CC4-5D6E-409C-BE32-E72D297353CC}">
                <c16:uniqueId val="{00000004-15B9-4937-890E-473EAFB7F069}"/>
              </c:ext>
            </c:extLst>
          </c:dPt>
          <c:cat>
            <c:strRef>
              <c:f>'Data Formatting'!$B$4:$B$7</c:f>
              <c:strCache>
                <c:ptCount val="4"/>
                <c:pt idx="0">
                  <c:v>Individual</c:v>
                </c:pt>
                <c:pt idx="1">
                  <c:v>Household</c:v>
                </c:pt>
                <c:pt idx="2">
                  <c:v>Business</c:v>
                </c:pt>
                <c:pt idx="3">
                  <c:v>Unknown</c:v>
                </c:pt>
              </c:strCache>
            </c:strRef>
          </c:cat>
          <c:val>
            <c:numRef>
              <c:f>'Data Formatting'!$C$4:$C$7</c:f>
              <c:numCache>
                <c:formatCode>General</c:formatCode>
                <c:ptCount val="4"/>
                <c:pt idx="0">
                  <c:v>49</c:v>
                </c:pt>
                <c:pt idx="1">
                  <c:v>45</c:v>
                </c:pt>
                <c:pt idx="2">
                  <c:v>0</c:v>
                </c:pt>
                <c:pt idx="3">
                  <c:v>2</c:v>
                </c:pt>
              </c:numCache>
            </c:numRef>
          </c:val>
          <c:extLst>
            <c:ext xmlns:c16="http://schemas.microsoft.com/office/drawing/2014/chart" uri="{C3380CC4-5D6E-409C-BE32-E72D297353CC}">
              <c16:uniqueId val="{00000000-15B9-4937-890E-473EAFB7F069}"/>
            </c:ext>
          </c:extLst>
        </c:ser>
        <c:dLbls>
          <c:showLegendKey val="0"/>
          <c:showVal val="0"/>
          <c:showCatName val="0"/>
          <c:showSerName val="0"/>
          <c:showPercent val="0"/>
          <c:showBubbleSize val="0"/>
          <c:showLeaderLines val="1"/>
        </c:dLbls>
        <c:firstSliceAng val="90"/>
      </c:pieChart>
      <c:spPr>
        <a:solidFill>
          <a:srgbClr val="FFFFFF"/>
        </a:solidFill>
      </c:spPr>
    </c:plotArea>
    <c:legend>
      <c:legendPos val="r"/>
      <c:overlay val="0"/>
      <c:spPr>
        <a:noFill/>
        <a:ln>
          <a:noFill/>
        </a:ln>
      </c:spPr>
      <c:txPr>
        <a:bodyPr/>
        <a:lstStyle/>
        <a:p>
          <a:pPr>
            <a:defRPr sz="1000" b="0" baseline="0">
              <a:solidFill>
                <a:srgbClr val="1A1A1A"/>
              </a:solidFill>
              <a:latin typeface="Arial"/>
              <a:ea typeface="Arial"/>
            </a:defRPr>
          </a:pPr>
          <a:endParaRPr lang="en-US"/>
        </a:p>
      </c:txPr>
    </c:legend>
    <c:plotVisOnly val="1"/>
    <c:dispBlanksAs val="gap"/>
    <c:showDLblsOverMax val="0"/>
  </c:chart>
  <c:spPr>
    <a:ln>
      <a:noFill/>
    </a:ln>
  </c:spPr>
  <c:printSettings>
    <c:headerFooter/>
    <c:pageMargins b="0.75" l="0.7" r="0.7" t="0.75" header="0.3" footer="0.3"/>
    <c:pageSetup/>
  </c:printSettings>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GB"/>
  <c:roundedCorners val="0"/>
  <c:style val="2"/>
  <c:chart>
    <c:title>
      <c:tx>
        <c:rich>
          <a:bodyPr/>
          <a:lstStyle/>
          <a:p>
            <a:pPr>
              <a:defRPr sz="1300" b="0"/>
            </a:pPr>
            <a:r>
              <a:rPr lang="en-GB" kern="0" baseline="0"/>
              <a:t>Q2: On a scale of 0-5, how much do you think Twyford should focus on the effects of climate change?</a:t>
            </a:r>
          </a:p>
        </c:rich>
      </c:tx>
      <c:overlay val="0"/>
    </c:title>
    <c:autoTitleDeleted val="0"/>
    <c:plotArea>
      <c:layout/>
      <c:barChart>
        <c:barDir val="col"/>
        <c:grouping val="clustered"/>
        <c:varyColors val="0"/>
        <c:ser>
          <c:idx val="0"/>
          <c:order val="0"/>
          <c:spPr>
            <a:solidFill>
              <a:srgbClr val="004D77"/>
            </a:solidFill>
            <a:ln>
              <a:noFill/>
            </a:ln>
          </c:spPr>
          <c:invertIfNegative val="0"/>
          <c:dPt>
            <c:idx val="0"/>
            <c:invertIfNegative val="0"/>
            <c:bubble3D val="0"/>
            <c:spPr>
              <a:solidFill>
                <a:srgbClr val="004586"/>
              </a:solidFill>
              <a:ln>
                <a:noFill/>
              </a:ln>
            </c:spPr>
            <c:extLst>
              <c:ext xmlns:c16="http://schemas.microsoft.com/office/drawing/2014/chart" uri="{C3380CC4-5D6E-409C-BE32-E72D297353CC}">
                <c16:uniqueId val="{00000001-C5C9-44E2-9129-C1830B66D382}"/>
              </c:ext>
            </c:extLst>
          </c:dPt>
          <c:dPt>
            <c:idx val="1"/>
            <c:invertIfNegative val="0"/>
            <c:bubble3D val="0"/>
            <c:spPr>
              <a:solidFill>
                <a:srgbClr val="FF420E"/>
              </a:solidFill>
              <a:ln>
                <a:noFill/>
              </a:ln>
            </c:spPr>
            <c:extLst>
              <c:ext xmlns:c16="http://schemas.microsoft.com/office/drawing/2014/chart" uri="{C3380CC4-5D6E-409C-BE32-E72D297353CC}">
                <c16:uniqueId val="{00000002-C5C9-44E2-9129-C1830B66D382}"/>
              </c:ext>
            </c:extLst>
          </c:dPt>
          <c:dPt>
            <c:idx val="2"/>
            <c:invertIfNegative val="0"/>
            <c:bubble3D val="0"/>
            <c:spPr>
              <a:solidFill>
                <a:srgbClr val="FFD320"/>
              </a:solidFill>
              <a:ln>
                <a:noFill/>
              </a:ln>
            </c:spPr>
            <c:extLst>
              <c:ext xmlns:c16="http://schemas.microsoft.com/office/drawing/2014/chart" uri="{C3380CC4-5D6E-409C-BE32-E72D297353CC}">
                <c16:uniqueId val="{00000003-C5C9-44E2-9129-C1830B66D382}"/>
              </c:ext>
            </c:extLst>
          </c:dPt>
          <c:dPt>
            <c:idx val="3"/>
            <c:invertIfNegative val="0"/>
            <c:bubble3D val="0"/>
            <c:spPr>
              <a:solidFill>
                <a:srgbClr val="579D1C"/>
              </a:solidFill>
              <a:ln>
                <a:noFill/>
              </a:ln>
            </c:spPr>
            <c:extLst>
              <c:ext xmlns:c16="http://schemas.microsoft.com/office/drawing/2014/chart" uri="{C3380CC4-5D6E-409C-BE32-E72D297353CC}">
                <c16:uniqueId val="{00000004-C5C9-44E2-9129-C1830B66D382}"/>
              </c:ext>
            </c:extLst>
          </c:dPt>
          <c:dPt>
            <c:idx val="4"/>
            <c:invertIfNegative val="0"/>
            <c:bubble3D val="0"/>
            <c:spPr>
              <a:solidFill>
                <a:srgbClr val="7E0021"/>
              </a:solidFill>
              <a:ln>
                <a:noFill/>
              </a:ln>
            </c:spPr>
            <c:extLst>
              <c:ext xmlns:c16="http://schemas.microsoft.com/office/drawing/2014/chart" uri="{C3380CC4-5D6E-409C-BE32-E72D297353CC}">
                <c16:uniqueId val="{00000005-C5C9-44E2-9129-C1830B66D382}"/>
              </c:ext>
            </c:extLst>
          </c:dPt>
          <c:dPt>
            <c:idx val="5"/>
            <c:invertIfNegative val="0"/>
            <c:bubble3D val="0"/>
            <c:spPr>
              <a:solidFill>
                <a:srgbClr val="83CAFF"/>
              </a:solidFill>
              <a:ln>
                <a:noFill/>
              </a:ln>
            </c:spPr>
            <c:extLst>
              <c:ext xmlns:c16="http://schemas.microsoft.com/office/drawing/2014/chart" uri="{C3380CC4-5D6E-409C-BE32-E72D297353CC}">
                <c16:uniqueId val="{00000006-C5C9-44E2-9129-C1830B66D382}"/>
              </c:ext>
            </c:extLst>
          </c:dPt>
          <c:cat>
            <c:numRef>
              <c:f>'Data Formatting'!$B$12:$B$17</c:f>
              <c:numCache>
                <c:formatCode>General</c:formatCode>
                <c:ptCount val="6"/>
                <c:pt idx="0">
                  <c:v>0</c:v>
                </c:pt>
                <c:pt idx="1">
                  <c:v>1</c:v>
                </c:pt>
                <c:pt idx="2">
                  <c:v>2</c:v>
                </c:pt>
                <c:pt idx="3">
                  <c:v>3</c:v>
                </c:pt>
                <c:pt idx="4">
                  <c:v>4</c:v>
                </c:pt>
                <c:pt idx="5">
                  <c:v>5</c:v>
                </c:pt>
              </c:numCache>
            </c:numRef>
          </c:cat>
          <c:val>
            <c:numRef>
              <c:f>'Data Formatting'!$C$12:$C$17</c:f>
              <c:numCache>
                <c:formatCode>General</c:formatCode>
                <c:ptCount val="6"/>
                <c:pt idx="0">
                  <c:v>1</c:v>
                </c:pt>
                <c:pt idx="1">
                  <c:v>1</c:v>
                </c:pt>
                <c:pt idx="2">
                  <c:v>1</c:v>
                </c:pt>
                <c:pt idx="3">
                  <c:v>12</c:v>
                </c:pt>
                <c:pt idx="4">
                  <c:v>30</c:v>
                </c:pt>
                <c:pt idx="5">
                  <c:v>51</c:v>
                </c:pt>
              </c:numCache>
            </c:numRef>
          </c:val>
          <c:extLst>
            <c:ext xmlns:c16="http://schemas.microsoft.com/office/drawing/2014/chart" uri="{C3380CC4-5D6E-409C-BE32-E72D297353CC}">
              <c16:uniqueId val="{00000000-C5C9-44E2-9129-C1830B66D382}"/>
            </c:ext>
          </c:extLst>
        </c:ser>
        <c:dLbls>
          <c:showLegendKey val="0"/>
          <c:showVal val="0"/>
          <c:showCatName val="0"/>
          <c:showSerName val="0"/>
          <c:showPercent val="0"/>
          <c:showBubbleSize val="0"/>
        </c:dLbls>
        <c:gapWidth val="150"/>
        <c:axId val="978297392"/>
        <c:axId val="1122853552"/>
      </c:barChart>
      <c:valAx>
        <c:axId val="1122853552"/>
        <c:scaling>
          <c:orientation val="minMax"/>
        </c:scaling>
        <c:delete val="0"/>
        <c:axPos val="l"/>
        <c:majorGridlines>
          <c:spPr>
            <a:ln w="6480">
              <a:solidFill>
                <a:srgbClr val="B7B7B7"/>
              </a:solidFill>
            </a:ln>
          </c:spPr>
        </c:majorGridlines>
        <c:numFmt formatCode="General" sourceLinked="0"/>
        <c:majorTickMark val="none"/>
        <c:minorTickMark val="none"/>
        <c:tickLblPos val="nextTo"/>
        <c:spPr>
          <a:ln>
            <a:noFill/>
          </a:ln>
        </c:spPr>
        <c:txPr>
          <a:bodyPr/>
          <a:lstStyle/>
          <a:p>
            <a:pPr>
              <a:defRPr sz="1000" b="0" baseline="0">
                <a:solidFill>
                  <a:srgbClr val="000000"/>
                </a:solidFill>
                <a:latin typeface="Arial"/>
                <a:ea typeface="Arial"/>
              </a:defRPr>
            </a:pPr>
            <a:endParaRPr lang="en-US"/>
          </a:p>
        </c:txPr>
        <c:crossAx val="978297392"/>
        <c:crossesAt val="0"/>
        <c:crossBetween val="between"/>
      </c:valAx>
      <c:catAx>
        <c:axId val="978297392"/>
        <c:scaling>
          <c:orientation val="minMax"/>
        </c:scaling>
        <c:delete val="0"/>
        <c:axPos val="b"/>
        <c:numFmt formatCode="General" sourceLinked="1"/>
        <c:majorTickMark val="none"/>
        <c:minorTickMark val="none"/>
        <c:tickLblPos val="nextTo"/>
        <c:spPr>
          <a:ln>
            <a:noFill/>
          </a:ln>
        </c:spPr>
        <c:txPr>
          <a:bodyPr/>
          <a:lstStyle/>
          <a:p>
            <a:pPr>
              <a:defRPr sz="1000" b="0" baseline="0">
                <a:solidFill>
                  <a:srgbClr val="000000"/>
                </a:solidFill>
                <a:latin typeface="Arial"/>
                <a:ea typeface="Arial"/>
              </a:defRPr>
            </a:pPr>
            <a:endParaRPr lang="en-US"/>
          </a:p>
        </c:txPr>
        <c:crossAx val="1122853552"/>
        <c:crossesAt val="0"/>
        <c:auto val="1"/>
        <c:lblAlgn val="ctr"/>
        <c:lblOffset val="100"/>
        <c:noMultiLvlLbl val="0"/>
      </c:catAx>
      <c:spPr>
        <a:solidFill>
          <a:srgbClr val="FFFFFF"/>
        </a:solidFill>
      </c:spPr>
    </c:plotArea>
    <c:plotVisOnly val="1"/>
    <c:dispBlanksAs val="gap"/>
    <c:showDLblsOverMax val="0"/>
  </c:chart>
  <c:spPr>
    <a:ln>
      <a:noFill/>
    </a:ln>
  </c:spPr>
  <c:printSettings>
    <c:headerFooter/>
    <c:pageMargins b="0.75" l="0.7" r="0.7" t="0.75" header="0.3" footer="0.3"/>
    <c:pageSetup/>
  </c:printSettings>
</c:chartSpace>
</file>

<file path=xl/charts/chart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GB"/>
  <c:roundedCorners val="0"/>
  <c:style val="2"/>
  <c:chart>
    <c:title>
      <c:tx>
        <c:rich>
          <a:bodyPr/>
          <a:lstStyle/>
          <a:p>
            <a:pPr>
              <a:defRPr sz="1300" b="0"/>
            </a:pPr>
            <a:r>
              <a:rPr lang="en-GB"/>
              <a:t>Q3: What are your biggest concerns about the effects of climate change?</a:t>
            </a:r>
          </a:p>
        </c:rich>
      </c:tx>
      <c:overlay val="0"/>
    </c:title>
    <c:autoTitleDeleted val="0"/>
    <c:plotArea>
      <c:layout>
        <c:manualLayout>
          <c:xMode val="edge"/>
          <c:yMode val="edge"/>
          <c:x val="4.2722885445770888E-2"/>
          <c:y val="0.20273587120702122"/>
          <c:w val="0.87355854711709424"/>
          <c:h val="0.60385875522933741"/>
        </c:manualLayout>
      </c:layout>
      <c:barChart>
        <c:barDir val="bar"/>
        <c:grouping val="clustered"/>
        <c:varyColors val="0"/>
        <c:ser>
          <c:idx val="0"/>
          <c:order val="0"/>
          <c:tx>
            <c:strRef>
              <c:f>'Data Formatting'!$C$23:$C$24</c:f>
              <c:strCache>
                <c:ptCount val="2"/>
                <c:pt idx="0">
                  <c:v>70</c:v>
                </c:pt>
                <c:pt idx="1">
                  <c:v>76</c:v>
                </c:pt>
              </c:strCache>
            </c:strRef>
          </c:tx>
          <c:spPr>
            <a:solidFill>
              <a:srgbClr val="4285F4"/>
            </a:solidFill>
            <a:ln>
              <a:noFill/>
            </a:ln>
          </c:spPr>
          <c:invertIfNegative val="0"/>
          <c:dPt>
            <c:idx val="0"/>
            <c:invertIfNegative val="0"/>
            <c:bubble3D val="0"/>
            <c:spPr>
              <a:solidFill>
                <a:srgbClr val="004586"/>
              </a:solidFill>
              <a:ln>
                <a:noFill/>
              </a:ln>
            </c:spPr>
            <c:extLst>
              <c:ext xmlns:c16="http://schemas.microsoft.com/office/drawing/2014/chart" uri="{C3380CC4-5D6E-409C-BE32-E72D297353CC}">
                <c16:uniqueId val="{00000001-2B1E-4B9D-ADCA-50EB8E9472F3}"/>
              </c:ext>
            </c:extLst>
          </c:dPt>
          <c:dPt>
            <c:idx val="1"/>
            <c:invertIfNegative val="0"/>
            <c:bubble3D val="0"/>
            <c:spPr>
              <a:solidFill>
                <a:srgbClr val="FF420E"/>
              </a:solidFill>
              <a:ln>
                <a:noFill/>
              </a:ln>
            </c:spPr>
            <c:extLst>
              <c:ext xmlns:c16="http://schemas.microsoft.com/office/drawing/2014/chart" uri="{C3380CC4-5D6E-409C-BE32-E72D297353CC}">
                <c16:uniqueId val="{00000002-2B1E-4B9D-ADCA-50EB8E9472F3}"/>
              </c:ext>
            </c:extLst>
          </c:dPt>
          <c:dPt>
            <c:idx val="2"/>
            <c:invertIfNegative val="0"/>
            <c:bubble3D val="0"/>
            <c:spPr>
              <a:solidFill>
                <a:srgbClr val="FFD320"/>
              </a:solidFill>
              <a:ln>
                <a:noFill/>
              </a:ln>
            </c:spPr>
            <c:extLst>
              <c:ext xmlns:c16="http://schemas.microsoft.com/office/drawing/2014/chart" uri="{C3380CC4-5D6E-409C-BE32-E72D297353CC}">
                <c16:uniqueId val="{00000003-2B1E-4B9D-ADCA-50EB8E9472F3}"/>
              </c:ext>
            </c:extLst>
          </c:dPt>
          <c:dPt>
            <c:idx val="3"/>
            <c:invertIfNegative val="0"/>
            <c:bubble3D val="0"/>
            <c:spPr>
              <a:solidFill>
                <a:srgbClr val="579D1C"/>
              </a:solidFill>
              <a:ln>
                <a:noFill/>
              </a:ln>
            </c:spPr>
            <c:extLst>
              <c:ext xmlns:c16="http://schemas.microsoft.com/office/drawing/2014/chart" uri="{C3380CC4-5D6E-409C-BE32-E72D297353CC}">
                <c16:uniqueId val="{00000004-2B1E-4B9D-ADCA-50EB8E9472F3}"/>
              </c:ext>
            </c:extLst>
          </c:dPt>
          <c:dPt>
            <c:idx val="4"/>
            <c:invertIfNegative val="0"/>
            <c:bubble3D val="0"/>
            <c:spPr>
              <a:solidFill>
                <a:srgbClr val="7E0021"/>
              </a:solidFill>
              <a:ln>
                <a:noFill/>
              </a:ln>
            </c:spPr>
            <c:extLst>
              <c:ext xmlns:c16="http://schemas.microsoft.com/office/drawing/2014/chart" uri="{C3380CC4-5D6E-409C-BE32-E72D297353CC}">
                <c16:uniqueId val="{00000005-2B1E-4B9D-ADCA-50EB8E9472F3}"/>
              </c:ext>
            </c:extLst>
          </c:dPt>
          <c:dPt>
            <c:idx val="5"/>
            <c:invertIfNegative val="0"/>
            <c:bubble3D val="0"/>
            <c:spPr>
              <a:solidFill>
                <a:srgbClr val="83CAFF"/>
              </a:solidFill>
              <a:ln>
                <a:noFill/>
              </a:ln>
            </c:spPr>
            <c:extLst>
              <c:ext xmlns:c16="http://schemas.microsoft.com/office/drawing/2014/chart" uri="{C3380CC4-5D6E-409C-BE32-E72D297353CC}">
                <c16:uniqueId val="{00000006-2B1E-4B9D-ADCA-50EB8E9472F3}"/>
              </c:ext>
            </c:extLst>
          </c:dPt>
          <c:dPt>
            <c:idx val="6"/>
            <c:invertIfNegative val="0"/>
            <c:bubble3D val="0"/>
            <c:spPr>
              <a:solidFill>
                <a:srgbClr val="314004"/>
              </a:solidFill>
              <a:ln>
                <a:noFill/>
              </a:ln>
            </c:spPr>
            <c:extLst>
              <c:ext xmlns:c16="http://schemas.microsoft.com/office/drawing/2014/chart" uri="{C3380CC4-5D6E-409C-BE32-E72D297353CC}">
                <c16:uniqueId val="{00000007-2B1E-4B9D-ADCA-50EB8E9472F3}"/>
              </c:ext>
            </c:extLst>
          </c:dPt>
          <c:cat>
            <c:strRef>
              <c:f>'Data Formatting'!$B$25:$B$31</c:f>
              <c:strCache>
                <c:ptCount val="7"/>
                <c:pt idx="0">
                  <c:v>Floods and storms</c:v>
                </c:pt>
                <c:pt idx="1">
                  <c:v>Water shortages</c:v>
                </c:pt>
                <c:pt idx="2">
                  <c:v>Extreme heat/wildfires</c:v>
                </c:pt>
                <c:pt idx="3">
                  <c:v>Higher bills</c:v>
                </c:pt>
                <c:pt idx="4">
                  <c:v>Economic/political instability</c:v>
                </c:pt>
                <c:pt idx="5">
                  <c:v>Impacts on poorer communities in the world</c:v>
                </c:pt>
                <c:pt idx="6">
                  <c:v>Climate migration</c:v>
                </c:pt>
              </c:strCache>
            </c:strRef>
          </c:cat>
          <c:val>
            <c:numRef>
              <c:f>'Data Formatting'!$C$25:$C$31</c:f>
              <c:numCache>
                <c:formatCode>General</c:formatCode>
                <c:ptCount val="7"/>
                <c:pt idx="0">
                  <c:v>71</c:v>
                </c:pt>
                <c:pt idx="1">
                  <c:v>63</c:v>
                </c:pt>
                <c:pt idx="2">
                  <c:v>59</c:v>
                </c:pt>
                <c:pt idx="3">
                  <c:v>49</c:v>
                </c:pt>
                <c:pt idx="4">
                  <c:v>51</c:v>
                </c:pt>
                <c:pt idx="5">
                  <c:v>61</c:v>
                </c:pt>
                <c:pt idx="6">
                  <c:v>34</c:v>
                </c:pt>
              </c:numCache>
            </c:numRef>
          </c:val>
          <c:extLst>
            <c:ext xmlns:c16="http://schemas.microsoft.com/office/drawing/2014/chart" uri="{C3380CC4-5D6E-409C-BE32-E72D297353CC}">
              <c16:uniqueId val="{00000000-2B1E-4B9D-ADCA-50EB8E9472F3}"/>
            </c:ext>
          </c:extLst>
        </c:ser>
        <c:dLbls>
          <c:showLegendKey val="0"/>
          <c:showVal val="0"/>
          <c:showCatName val="0"/>
          <c:showSerName val="0"/>
          <c:showPercent val="0"/>
          <c:showBubbleSize val="0"/>
        </c:dLbls>
        <c:gapWidth val="150"/>
        <c:axId val="978308064"/>
        <c:axId val="1122858832"/>
      </c:barChart>
      <c:valAx>
        <c:axId val="1122858832"/>
        <c:scaling>
          <c:orientation val="minMax"/>
        </c:scaling>
        <c:delete val="0"/>
        <c:axPos val="b"/>
        <c:majorGridlines>
          <c:spPr>
            <a:ln w="6480">
              <a:solidFill>
                <a:srgbClr val="B7B7B7"/>
              </a:solidFill>
            </a:ln>
          </c:spPr>
        </c:majorGridlines>
        <c:title>
          <c:tx>
            <c:rich>
              <a:bodyPr/>
              <a:lstStyle/>
              <a:p>
                <a:pPr>
                  <a:defRPr sz="1000" b="0" baseline="0">
                    <a:solidFill>
                      <a:srgbClr val="000000"/>
                    </a:solidFill>
                    <a:latin typeface="Arial"/>
                    <a:ea typeface="Arial"/>
                  </a:defRPr>
                </a:pPr>
                <a:r>
                  <a:rPr lang="en-GB" sz="1000" baseline="0">
                    <a:solidFill>
                      <a:srgbClr val="000000"/>
                    </a:solidFill>
                    <a:latin typeface="Arial"/>
                    <a:ea typeface="Arial"/>
                  </a:rPr>
                  <a:t>Frequency</a:t>
                </a:r>
              </a:p>
            </c:rich>
          </c:tx>
          <c:overlay val="0"/>
        </c:title>
        <c:numFmt formatCode="General" sourceLinked="0"/>
        <c:majorTickMark val="none"/>
        <c:minorTickMark val="none"/>
        <c:tickLblPos val="nextTo"/>
        <c:spPr>
          <a:ln>
            <a:noFill/>
          </a:ln>
        </c:spPr>
        <c:txPr>
          <a:bodyPr/>
          <a:lstStyle/>
          <a:p>
            <a:pPr>
              <a:defRPr sz="1000" b="0" baseline="0">
                <a:solidFill>
                  <a:srgbClr val="000000"/>
                </a:solidFill>
                <a:latin typeface="Arial"/>
                <a:ea typeface="Arial"/>
              </a:defRPr>
            </a:pPr>
            <a:endParaRPr lang="en-US"/>
          </a:p>
        </c:txPr>
        <c:crossAx val="978308064"/>
        <c:crosses val="max"/>
        <c:crossBetween val="between"/>
      </c:valAx>
      <c:catAx>
        <c:axId val="978308064"/>
        <c:scaling>
          <c:orientation val="maxMin"/>
        </c:scaling>
        <c:delete val="0"/>
        <c:axPos val="l"/>
        <c:title>
          <c:tx>
            <c:rich>
              <a:bodyPr/>
              <a:lstStyle/>
              <a:p>
                <a:pPr>
                  <a:defRPr sz="1000" b="0" baseline="0">
                    <a:solidFill>
                      <a:srgbClr val="000000"/>
                    </a:solidFill>
                    <a:latin typeface="Arial"/>
                    <a:ea typeface="Arial"/>
                  </a:defRPr>
                </a:pPr>
                <a:r>
                  <a:rPr lang="en-GB" sz="1000" baseline="0">
                    <a:solidFill>
                      <a:srgbClr val="000000"/>
                    </a:solidFill>
                    <a:latin typeface="Arial"/>
                    <a:ea typeface="Arial"/>
                  </a:rPr>
                  <a:t>Concern</a:t>
                </a:r>
              </a:p>
            </c:rich>
          </c:tx>
          <c:overlay val="0"/>
        </c:title>
        <c:numFmt formatCode="General" sourceLinked="1"/>
        <c:majorTickMark val="none"/>
        <c:minorTickMark val="none"/>
        <c:tickLblPos val="nextTo"/>
        <c:spPr>
          <a:ln>
            <a:noFill/>
          </a:ln>
        </c:spPr>
        <c:txPr>
          <a:bodyPr/>
          <a:lstStyle/>
          <a:p>
            <a:pPr>
              <a:defRPr sz="1200" b="0" baseline="0">
                <a:solidFill>
                  <a:srgbClr val="000000"/>
                </a:solidFill>
                <a:latin typeface="Arial"/>
                <a:ea typeface="Arial"/>
              </a:defRPr>
            </a:pPr>
            <a:endParaRPr lang="en-US"/>
          </a:p>
        </c:txPr>
        <c:crossAx val="1122858832"/>
        <c:crossesAt val="0"/>
        <c:auto val="1"/>
        <c:lblAlgn val="ctr"/>
        <c:lblOffset val="100"/>
        <c:noMultiLvlLbl val="0"/>
      </c:catAx>
      <c:spPr>
        <a:solidFill>
          <a:srgbClr val="FFFFFF"/>
        </a:solidFill>
      </c:spPr>
    </c:plotArea>
    <c:plotVisOnly val="1"/>
    <c:dispBlanksAs val="gap"/>
    <c:showDLblsOverMax val="0"/>
  </c:chart>
  <c:spPr>
    <a:ln>
      <a:noFill/>
    </a:ln>
  </c:spPr>
  <c:printSettings>
    <c:headerFooter/>
    <c:pageMargins b="0.75" l="0.7" r="0.7" t="0.75" header="0.3" footer="0.3"/>
    <c:pageSetup/>
  </c:printSettings>
</c:chartSpace>
</file>

<file path=xl/charts/chart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GB"/>
  <c:roundedCorners val="0"/>
  <c:style val="2"/>
  <c:chart>
    <c:title>
      <c:tx>
        <c:rich>
          <a:bodyPr/>
          <a:lstStyle/>
          <a:p>
            <a:pPr>
              <a:defRPr sz="1300" b="0"/>
            </a:pPr>
            <a:r>
              <a:rPr lang="en-GB"/>
              <a:t>Q4: What steps have you taken to reduce the impact of climate change?</a:t>
            </a:r>
          </a:p>
        </c:rich>
      </c:tx>
      <c:overlay val="0"/>
    </c:title>
    <c:autoTitleDeleted val="0"/>
    <c:plotArea>
      <c:layout>
        <c:manualLayout>
          <c:xMode val="edge"/>
          <c:yMode val="edge"/>
          <c:x val="4.1626981903748111E-2"/>
          <c:y val="0.16043333957841113"/>
          <c:w val="0.9371393355370049"/>
          <c:h val="0.67470561193818734"/>
        </c:manualLayout>
      </c:layout>
      <c:barChart>
        <c:barDir val="bar"/>
        <c:grouping val="clustered"/>
        <c:varyColors val="0"/>
        <c:ser>
          <c:idx val="0"/>
          <c:order val="0"/>
          <c:tx>
            <c:strRef>
              <c:f>'Data Formatting'!$C$39:$C$40</c:f>
              <c:strCache>
                <c:ptCount val="2"/>
                <c:pt idx="0">
                  <c:v>69</c:v>
                </c:pt>
                <c:pt idx="1">
                  <c:v>62</c:v>
                </c:pt>
              </c:strCache>
            </c:strRef>
          </c:tx>
          <c:spPr>
            <a:solidFill>
              <a:srgbClr val="4285F4"/>
            </a:solidFill>
            <a:ln>
              <a:noFill/>
            </a:ln>
          </c:spPr>
          <c:invertIfNegative val="0"/>
          <c:dPt>
            <c:idx val="0"/>
            <c:invertIfNegative val="0"/>
            <c:bubble3D val="0"/>
            <c:spPr>
              <a:solidFill>
                <a:srgbClr val="004586"/>
              </a:solidFill>
              <a:ln>
                <a:noFill/>
              </a:ln>
            </c:spPr>
            <c:extLst>
              <c:ext xmlns:c16="http://schemas.microsoft.com/office/drawing/2014/chart" uri="{C3380CC4-5D6E-409C-BE32-E72D297353CC}">
                <c16:uniqueId val="{00000001-D308-4079-BEF2-8AEC4BBF0F9B}"/>
              </c:ext>
            </c:extLst>
          </c:dPt>
          <c:dPt>
            <c:idx val="1"/>
            <c:invertIfNegative val="0"/>
            <c:bubble3D val="0"/>
            <c:spPr>
              <a:solidFill>
                <a:srgbClr val="FF420E"/>
              </a:solidFill>
              <a:ln>
                <a:noFill/>
              </a:ln>
            </c:spPr>
            <c:extLst>
              <c:ext xmlns:c16="http://schemas.microsoft.com/office/drawing/2014/chart" uri="{C3380CC4-5D6E-409C-BE32-E72D297353CC}">
                <c16:uniqueId val="{00000002-D308-4079-BEF2-8AEC4BBF0F9B}"/>
              </c:ext>
            </c:extLst>
          </c:dPt>
          <c:dPt>
            <c:idx val="2"/>
            <c:invertIfNegative val="0"/>
            <c:bubble3D val="0"/>
            <c:spPr>
              <a:solidFill>
                <a:srgbClr val="FFD320"/>
              </a:solidFill>
              <a:ln>
                <a:noFill/>
              </a:ln>
            </c:spPr>
            <c:extLst>
              <c:ext xmlns:c16="http://schemas.microsoft.com/office/drawing/2014/chart" uri="{C3380CC4-5D6E-409C-BE32-E72D297353CC}">
                <c16:uniqueId val="{00000003-D308-4079-BEF2-8AEC4BBF0F9B}"/>
              </c:ext>
            </c:extLst>
          </c:dPt>
          <c:dPt>
            <c:idx val="3"/>
            <c:invertIfNegative val="0"/>
            <c:bubble3D val="0"/>
            <c:spPr>
              <a:solidFill>
                <a:srgbClr val="579D1C"/>
              </a:solidFill>
              <a:ln>
                <a:noFill/>
              </a:ln>
            </c:spPr>
            <c:extLst>
              <c:ext xmlns:c16="http://schemas.microsoft.com/office/drawing/2014/chart" uri="{C3380CC4-5D6E-409C-BE32-E72D297353CC}">
                <c16:uniqueId val="{00000004-D308-4079-BEF2-8AEC4BBF0F9B}"/>
              </c:ext>
            </c:extLst>
          </c:dPt>
          <c:dPt>
            <c:idx val="4"/>
            <c:invertIfNegative val="0"/>
            <c:bubble3D val="0"/>
            <c:spPr>
              <a:solidFill>
                <a:srgbClr val="7E0021"/>
              </a:solidFill>
              <a:ln>
                <a:noFill/>
              </a:ln>
            </c:spPr>
            <c:extLst>
              <c:ext xmlns:c16="http://schemas.microsoft.com/office/drawing/2014/chart" uri="{C3380CC4-5D6E-409C-BE32-E72D297353CC}">
                <c16:uniqueId val="{00000005-D308-4079-BEF2-8AEC4BBF0F9B}"/>
              </c:ext>
            </c:extLst>
          </c:dPt>
          <c:dPt>
            <c:idx val="5"/>
            <c:invertIfNegative val="0"/>
            <c:bubble3D val="0"/>
            <c:spPr>
              <a:solidFill>
                <a:srgbClr val="83CAFF"/>
              </a:solidFill>
              <a:ln>
                <a:noFill/>
              </a:ln>
            </c:spPr>
            <c:extLst>
              <c:ext xmlns:c16="http://schemas.microsoft.com/office/drawing/2014/chart" uri="{C3380CC4-5D6E-409C-BE32-E72D297353CC}">
                <c16:uniqueId val="{00000006-D308-4079-BEF2-8AEC4BBF0F9B}"/>
              </c:ext>
            </c:extLst>
          </c:dPt>
          <c:dPt>
            <c:idx val="6"/>
            <c:invertIfNegative val="0"/>
            <c:bubble3D val="0"/>
            <c:spPr>
              <a:solidFill>
                <a:srgbClr val="314004"/>
              </a:solidFill>
              <a:ln>
                <a:noFill/>
              </a:ln>
            </c:spPr>
            <c:extLst>
              <c:ext xmlns:c16="http://schemas.microsoft.com/office/drawing/2014/chart" uri="{C3380CC4-5D6E-409C-BE32-E72D297353CC}">
                <c16:uniqueId val="{00000007-D308-4079-BEF2-8AEC4BBF0F9B}"/>
              </c:ext>
            </c:extLst>
          </c:dPt>
          <c:dPt>
            <c:idx val="7"/>
            <c:invertIfNegative val="0"/>
            <c:bubble3D val="0"/>
            <c:spPr>
              <a:solidFill>
                <a:srgbClr val="AECF00"/>
              </a:solidFill>
              <a:ln>
                <a:noFill/>
              </a:ln>
            </c:spPr>
            <c:extLst>
              <c:ext xmlns:c16="http://schemas.microsoft.com/office/drawing/2014/chart" uri="{C3380CC4-5D6E-409C-BE32-E72D297353CC}">
                <c16:uniqueId val="{00000008-D308-4079-BEF2-8AEC4BBF0F9B}"/>
              </c:ext>
            </c:extLst>
          </c:dPt>
          <c:dPt>
            <c:idx val="8"/>
            <c:invertIfNegative val="0"/>
            <c:bubble3D val="0"/>
            <c:spPr>
              <a:solidFill>
                <a:srgbClr val="4B1F6F"/>
              </a:solidFill>
              <a:ln>
                <a:noFill/>
              </a:ln>
            </c:spPr>
            <c:extLst>
              <c:ext xmlns:c16="http://schemas.microsoft.com/office/drawing/2014/chart" uri="{C3380CC4-5D6E-409C-BE32-E72D297353CC}">
                <c16:uniqueId val="{00000009-D308-4079-BEF2-8AEC4BBF0F9B}"/>
              </c:ext>
            </c:extLst>
          </c:dPt>
          <c:dPt>
            <c:idx val="9"/>
            <c:invertIfNegative val="0"/>
            <c:bubble3D val="0"/>
            <c:spPr>
              <a:solidFill>
                <a:srgbClr val="FF950E"/>
              </a:solidFill>
              <a:ln>
                <a:noFill/>
              </a:ln>
            </c:spPr>
            <c:extLst>
              <c:ext xmlns:c16="http://schemas.microsoft.com/office/drawing/2014/chart" uri="{C3380CC4-5D6E-409C-BE32-E72D297353CC}">
                <c16:uniqueId val="{0000000A-D308-4079-BEF2-8AEC4BBF0F9B}"/>
              </c:ext>
            </c:extLst>
          </c:dPt>
          <c:dPt>
            <c:idx val="10"/>
            <c:invertIfNegative val="0"/>
            <c:bubble3D val="0"/>
            <c:spPr>
              <a:solidFill>
                <a:srgbClr val="C5000B"/>
              </a:solidFill>
              <a:ln>
                <a:noFill/>
              </a:ln>
            </c:spPr>
            <c:extLst>
              <c:ext xmlns:c16="http://schemas.microsoft.com/office/drawing/2014/chart" uri="{C3380CC4-5D6E-409C-BE32-E72D297353CC}">
                <c16:uniqueId val="{0000000B-D308-4079-BEF2-8AEC4BBF0F9B}"/>
              </c:ext>
            </c:extLst>
          </c:dPt>
          <c:dPt>
            <c:idx val="11"/>
            <c:invertIfNegative val="0"/>
            <c:bubble3D val="0"/>
            <c:spPr>
              <a:solidFill>
                <a:srgbClr val="0084D1"/>
              </a:solidFill>
              <a:ln>
                <a:noFill/>
              </a:ln>
            </c:spPr>
            <c:extLst>
              <c:ext xmlns:c16="http://schemas.microsoft.com/office/drawing/2014/chart" uri="{C3380CC4-5D6E-409C-BE32-E72D297353CC}">
                <c16:uniqueId val="{0000000C-D308-4079-BEF2-8AEC4BBF0F9B}"/>
              </c:ext>
            </c:extLst>
          </c:dPt>
          <c:dPt>
            <c:idx val="12"/>
            <c:invertIfNegative val="0"/>
            <c:bubble3D val="0"/>
            <c:spPr>
              <a:solidFill>
                <a:srgbClr val="004586"/>
              </a:solidFill>
              <a:ln>
                <a:noFill/>
              </a:ln>
            </c:spPr>
            <c:extLst>
              <c:ext xmlns:c16="http://schemas.microsoft.com/office/drawing/2014/chart" uri="{C3380CC4-5D6E-409C-BE32-E72D297353CC}">
                <c16:uniqueId val="{0000000D-D308-4079-BEF2-8AEC4BBF0F9B}"/>
              </c:ext>
            </c:extLst>
          </c:dPt>
          <c:dPt>
            <c:idx val="13"/>
            <c:invertIfNegative val="0"/>
            <c:bubble3D val="0"/>
            <c:spPr>
              <a:solidFill>
                <a:srgbClr val="FF420E"/>
              </a:solidFill>
              <a:ln>
                <a:noFill/>
              </a:ln>
            </c:spPr>
            <c:extLst>
              <c:ext xmlns:c16="http://schemas.microsoft.com/office/drawing/2014/chart" uri="{C3380CC4-5D6E-409C-BE32-E72D297353CC}">
                <c16:uniqueId val="{0000000E-D308-4079-BEF2-8AEC4BBF0F9B}"/>
              </c:ext>
            </c:extLst>
          </c:dPt>
          <c:dPt>
            <c:idx val="14"/>
            <c:invertIfNegative val="0"/>
            <c:bubble3D val="0"/>
            <c:spPr>
              <a:solidFill>
                <a:srgbClr val="FFD320"/>
              </a:solidFill>
              <a:ln>
                <a:noFill/>
              </a:ln>
            </c:spPr>
            <c:extLst>
              <c:ext xmlns:c16="http://schemas.microsoft.com/office/drawing/2014/chart" uri="{C3380CC4-5D6E-409C-BE32-E72D297353CC}">
                <c16:uniqueId val="{0000000F-D308-4079-BEF2-8AEC4BBF0F9B}"/>
              </c:ext>
            </c:extLst>
          </c:dPt>
          <c:dPt>
            <c:idx val="15"/>
            <c:invertIfNegative val="0"/>
            <c:bubble3D val="0"/>
            <c:spPr>
              <a:solidFill>
                <a:srgbClr val="579D1C"/>
              </a:solidFill>
              <a:ln>
                <a:noFill/>
              </a:ln>
            </c:spPr>
            <c:extLst>
              <c:ext xmlns:c16="http://schemas.microsoft.com/office/drawing/2014/chart" uri="{C3380CC4-5D6E-409C-BE32-E72D297353CC}">
                <c16:uniqueId val="{00000010-D308-4079-BEF2-8AEC4BBF0F9B}"/>
              </c:ext>
            </c:extLst>
          </c:dPt>
          <c:dPt>
            <c:idx val="16"/>
            <c:invertIfNegative val="0"/>
            <c:bubble3D val="0"/>
            <c:spPr>
              <a:solidFill>
                <a:srgbClr val="7E0021"/>
              </a:solidFill>
              <a:ln>
                <a:noFill/>
              </a:ln>
            </c:spPr>
            <c:extLst>
              <c:ext xmlns:c16="http://schemas.microsoft.com/office/drawing/2014/chart" uri="{C3380CC4-5D6E-409C-BE32-E72D297353CC}">
                <c16:uniqueId val="{00000011-D308-4079-BEF2-8AEC4BBF0F9B}"/>
              </c:ext>
            </c:extLst>
          </c:dPt>
          <c:cat>
            <c:strRef>
              <c:f>'Data Formatting'!$B$41:$B$57</c:f>
              <c:strCache>
                <c:ptCount val="17"/>
                <c:pt idx="0">
                  <c:v>Reduced my travel</c:v>
                </c:pt>
                <c:pt idx="1">
                  <c:v>Used lower carbon ways of travelling</c:v>
                </c:pt>
                <c:pt idx="2">
                  <c:v>Invested in an electric/hybrid car</c:v>
                </c:pt>
                <c:pt idx="3">
                  <c:v>Reduced my energy use</c:v>
                </c:pt>
                <c:pt idx="4">
                  <c:v>Installed insulation</c:v>
                </c:pt>
                <c:pt idx="5">
                  <c:v>Installed a greener heating system</c:v>
                </c:pt>
                <c:pt idx="6">
                  <c:v>Hired or borrowed items instead of buying</c:v>
                </c:pt>
                <c:pt idx="7">
                  <c:v>Reused or repaired items</c:v>
                </c:pt>
                <c:pt idx="8">
                  <c:v>Composted or recycled waste</c:v>
                </c:pt>
                <c:pt idx="9">
                  <c:v>Reduced flood risk</c:v>
                </c:pt>
                <c:pt idx="10">
                  <c:v>Reduced water use</c:v>
                </c:pt>
                <c:pt idx="11">
                  <c:v>Reduced heat risk</c:v>
                </c:pt>
                <c:pt idx="12">
                  <c:v>Sustainable banking/investment</c:v>
                </c:pt>
                <c:pt idx="13">
                  <c:v>Taken political action</c:v>
                </c:pt>
                <c:pt idx="14">
                  <c:v>Joined a climate/environmental group</c:v>
                </c:pt>
                <c:pt idx="15">
                  <c:v>Talked to friends and family</c:v>
                </c:pt>
                <c:pt idx="16">
                  <c:v>None of the above</c:v>
                </c:pt>
              </c:strCache>
            </c:strRef>
          </c:cat>
          <c:val>
            <c:numRef>
              <c:f>'Data Formatting'!$C$41:$C$57</c:f>
              <c:numCache>
                <c:formatCode>General</c:formatCode>
                <c:ptCount val="17"/>
                <c:pt idx="0">
                  <c:v>46</c:v>
                </c:pt>
                <c:pt idx="1">
                  <c:v>51</c:v>
                </c:pt>
                <c:pt idx="2">
                  <c:v>27</c:v>
                </c:pt>
                <c:pt idx="3">
                  <c:v>47</c:v>
                </c:pt>
                <c:pt idx="4">
                  <c:v>40</c:v>
                </c:pt>
                <c:pt idx="5">
                  <c:v>12</c:v>
                </c:pt>
                <c:pt idx="6">
                  <c:v>32</c:v>
                </c:pt>
                <c:pt idx="7">
                  <c:v>73</c:v>
                </c:pt>
                <c:pt idx="8">
                  <c:v>86</c:v>
                </c:pt>
                <c:pt idx="9">
                  <c:v>10</c:v>
                </c:pt>
                <c:pt idx="10">
                  <c:v>62</c:v>
                </c:pt>
                <c:pt idx="11">
                  <c:v>14</c:v>
                </c:pt>
                <c:pt idx="12">
                  <c:v>13</c:v>
                </c:pt>
                <c:pt idx="13">
                  <c:v>23</c:v>
                </c:pt>
                <c:pt idx="14">
                  <c:v>23</c:v>
                </c:pt>
                <c:pt idx="15">
                  <c:v>40</c:v>
                </c:pt>
                <c:pt idx="16">
                  <c:v>0</c:v>
                </c:pt>
              </c:numCache>
            </c:numRef>
          </c:val>
          <c:extLst>
            <c:ext xmlns:c16="http://schemas.microsoft.com/office/drawing/2014/chart" uri="{C3380CC4-5D6E-409C-BE32-E72D297353CC}">
              <c16:uniqueId val="{00000000-D308-4079-BEF2-8AEC4BBF0F9B}"/>
            </c:ext>
          </c:extLst>
        </c:ser>
        <c:dLbls>
          <c:showLegendKey val="0"/>
          <c:showVal val="0"/>
          <c:showCatName val="0"/>
          <c:showSerName val="0"/>
          <c:showPercent val="0"/>
          <c:showBubbleSize val="0"/>
        </c:dLbls>
        <c:gapWidth val="150"/>
        <c:axId val="978304352"/>
        <c:axId val="1122870832"/>
      </c:barChart>
      <c:valAx>
        <c:axId val="1122870832"/>
        <c:scaling>
          <c:orientation val="minMax"/>
        </c:scaling>
        <c:delete val="0"/>
        <c:axPos val="b"/>
        <c:majorGridlines>
          <c:spPr>
            <a:ln w="6480">
              <a:solidFill>
                <a:srgbClr val="B7B7B7"/>
              </a:solidFill>
            </a:ln>
          </c:spPr>
        </c:majorGridlines>
        <c:title>
          <c:tx>
            <c:rich>
              <a:bodyPr/>
              <a:lstStyle/>
              <a:p>
                <a:pPr>
                  <a:defRPr sz="1000" b="0" baseline="0">
                    <a:solidFill>
                      <a:srgbClr val="000000"/>
                    </a:solidFill>
                    <a:latin typeface="Arial"/>
                    <a:ea typeface="Arial"/>
                  </a:defRPr>
                </a:pPr>
                <a:r>
                  <a:rPr lang="en-GB" sz="1000" baseline="0">
                    <a:solidFill>
                      <a:srgbClr val="000000"/>
                    </a:solidFill>
                    <a:latin typeface="Arial"/>
                    <a:ea typeface="Arial"/>
                  </a:rPr>
                  <a:t>Frequency</a:t>
                </a:r>
              </a:p>
            </c:rich>
          </c:tx>
          <c:overlay val="0"/>
        </c:title>
        <c:numFmt formatCode="General" sourceLinked="0"/>
        <c:majorTickMark val="none"/>
        <c:minorTickMark val="none"/>
        <c:tickLblPos val="nextTo"/>
        <c:spPr>
          <a:ln>
            <a:noFill/>
          </a:ln>
        </c:spPr>
        <c:txPr>
          <a:bodyPr/>
          <a:lstStyle/>
          <a:p>
            <a:pPr>
              <a:defRPr sz="1000" b="0" baseline="0">
                <a:solidFill>
                  <a:srgbClr val="000000"/>
                </a:solidFill>
                <a:latin typeface="Arial"/>
                <a:ea typeface="Arial"/>
              </a:defRPr>
            </a:pPr>
            <a:endParaRPr lang="en-US"/>
          </a:p>
        </c:txPr>
        <c:crossAx val="978304352"/>
        <c:crosses val="max"/>
        <c:crossBetween val="between"/>
      </c:valAx>
      <c:catAx>
        <c:axId val="978304352"/>
        <c:scaling>
          <c:orientation val="maxMin"/>
        </c:scaling>
        <c:delete val="0"/>
        <c:axPos val="l"/>
        <c:title>
          <c:tx>
            <c:rich>
              <a:bodyPr/>
              <a:lstStyle/>
              <a:p>
                <a:pPr>
                  <a:defRPr sz="1000" b="0" baseline="0">
                    <a:solidFill>
                      <a:srgbClr val="000000"/>
                    </a:solidFill>
                    <a:latin typeface="Arial"/>
                    <a:ea typeface="Arial"/>
                  </a:defRPr>
                </a:pPr>
                <a:r>
                  <a:rPr lang="en-GB" sz="1000" baseline="0">
                    <a:solidFill>
                      <a:srgbClr val="000000"/>
                    </a:solidFill>
                    <a:latin typeface="Arial"/>
                    <a:ea typeface="Arial"/>
                  </a:rPr>
                  <a:t>Measure</a:t>
                </a:r>
              </a:p>
            </c:rich>
          </c:tx>
          <c:layout>
            <c:manualLayout>
              <c:xMode val="edge"/>
              <c:yMode val="edge"/>
              <c:x val="4.879825200291333E-2"/>
              <c:y val="0.55246315605439056"/>
            </c:manualLayout>
          </c:layout>
          <c:overlay val="0"/>
        </c:title>
        <c:numFmt formatCode="General" sourceLinked="1"/>
        <c:majorTickMark val="none"/>
        <c:minorTickMark val="none"/>
        <c:tickLblPos val="nextTo"/>
        <c:spPr>
          <a:ln>
            <a:noFill/>
          </a:ln>
        </c:spPr>
        <c:txPr>
          <a:bodyPr/>
          <a:lstStyle/>
          <a:p>
            <a:pPr>
              <a:defRPr sz="1000" b="0" baseline="0">
                <a:solidFill>
                  <a:srgbClr val="000000"/>
                </a:solidFill>
                <a:latin typeface="Arial"/>
                <a:ea typeface="Arial"/>
              </a:defRPr>
            </a:pPr>
            <a:endParaRPr lang="en-US"/>
          </a:p>
        </c:txPr>
        <c:crossAx val="1122870832"/>
        <c:crossesAt val="0"/>
        <c:auto val="1"/>
        <c:lblAlgn val="ctr"/>
        <c:lblOffset val="100"/>
        <c:noMultiLvlLbl val="0"/>
      </c:catAx>
      <c:spPr>
        <a:solidFill>
          <a:srgbClr val="FFFFFF"/>
        </a:solidFill>
      </c:spPr>
    </c:plotArea>
    <c:plotVisOnly val="1"/>
    <c:dispBlanksAs val="gap"/>
    <c:showDLblsOverMax val="0"/>
  </c:chart>
  <c:spPr>
    <a:ln>
      <a:noFill/>
    </a:ln>
  </c:spPr>
  <c:printSettings>
    <c:headerFooter/>
    <c:pageMargins b="0.75" l="0.7" r="0.7" t="0.75" header="0.3" footer="0.3"/>
    <c:pageSetup/>
  </c:printSettings>
</c:chartSpace>
</file>

<file path=xl/charts/chart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GB"/>
  <c:roundedCorners val="0"/>
  <c:style val="2"/>
  <c:chart>
    <c:title>
      <c:tx>
        <c:rich>
          <a:bodyPr/>
          <a:lstStyle/>
          <a:p>
            <a:pPr>
              <a:defRPr sz="1300" b="0"/>
            </a:pPr>
            <a:r>
              <a:rPr lang="en-GB"/>
              <a:t>Q5: What are the things that hold you back from doing more?</a:t>
            </a:r>
          </a:p>
        </c:rich>
      </c:tx>
      <c:overlay val="0"/>
    </c:title>
    <c:autoTitleDeleted val="0"/>
    <c:plotArea>
      <c:layout>
        <c:manualLayout>
          <c:xMode val="edge"/>
          <c:yMode val="edge"/>
          <c:x val="9.9576655837256958E-2"/>
          <c:y val="0.14298110296953337"/>
          <c:w val="0.87125224265760703"/>
          <c:h val="0.66361357500964135"/>
        </c:manualLayout>
      </c:layout>
      <c:barChart>
        <c:barDir val="bar"/>
        <c:grouping val="clustered"/>
        <c:varyColors val="0"/>
        <c:ser>
          <c:idx val="0"/>
          <c:order val="0"/>
          <c:tx>
            <c:strRef>
              <c:f>'Data Formatting'!$C$64:$C$65</c:f>
              <c:strCache>
                <c:ptCount val="2"/>
                <c:pt idx="0">
                  <c:v>16</c:v>
                </c:pt>
                <c:pt idx="1">
                  <c:v>30</c:v>
                </c:pt>
              </c:strCache>
            </c:strRef>
          </c:tx>
          <c:spPr>
            <a:solidFill>
              <a:srgbClr val="4285F4"/>
            </a:solidFill>
            <a:ln>
              <a:noFill/>
            </a:ln>
          </c:spPr>
          <c:invertIfNegative val="0"/>
          <c:dPt>
            <c:idx val="0"/>
            <c:invertIfNegative val="0"/>
            <c:bubble3D val="0"/>
            <c:spPr>
              <a:solidFill>
                <a:srgbClr val="004586"/>
              </a:solidFill>
              <a:ln>
                <a:noFill/>
              </a:ln>
            </c:spPr>
            <c:extLst>
              <c:ext xmlns:c16="http://schemas.microsoft.com/office/drawing/2014/chart" uri="{C3380CC4-5D6E-409C-BE32-E72D297353CC}">
                <c16:uniqueId val="{00000001-5205-47CD-9818-6C92EBC0B03B}"/>
              </c:ext>
            </c:extLst>
          </c:dPt>
          <c:dPt>
            <c:idx val="1"/>
            <c:invertIfNegative val="0"/>
            <c:bubble3D val="0"/>
            <c:spPr>
              <a:solidFill>
                <a:srgbClr val="FF420E"/>
              </a:solidFill>
              <a:ln>
                <a:noFill/>
              </a:ln>
            </c:spPr>
            <c:extLst>
              <c:ext xmlns:c16="http://schemas.microsoft.com/office/drawing/2014/chart" uri="{C3380CC4-5D6E-409C-BE32-E72D297353CC}">
                <c16:uniqueId val="{00000002-5205-47CD-9818-6C92EBC0B03B}"/>
              </c:ext>
            </c:extLst>
          </c:dPt>
          <c:dPt>
            <c:idx val="2"/>
            <c:invertIfNegative val="0"/>
            <c:bubble3D val="0"/>
            <c:spPr>
              <a:solidFill>
                <a:srgbClr val="FFD320"/>
              </a:solidFill>
              <a:ln>
                <a:noFill/>
              </a:ln>
            </c:spPr>
            <c:extLst>
              <c:ext xmlns:c16="http://schemas.microsoft.com/office/drawing/2014/chart" uri="{C3380CC4-5D6E-409C-BE32-E72D297353CC}">
                <c16:uniqueId val="{00000003-5205-47CD-9818-6C92EBC0B03B}"/>
              </c:ext>
            </c:extLst>
          </c:dPt>
          <c:dPt>
            <c:idx val="3"/>
            <c:invertIfNegative val="0"/>
            <c:bubble3D val="0"/>
            <c:spPr>
              <a:solidFill>
                <a:srgbClr val="579D1C"/>
              </a:solidFill>
              <a:ln>
                <a:noFill/>
              </a:ln>
            </c:spPr>
            <c:extLst>
              <c:ext xmlns:c16="http://schemas.microsoft.com/office/drawing/2014/chart" uri="{C3380CC4-5D6E-409C-BE32-E72D297353CC}">
                <c16:uniqueId val="{00000004-5205-47CD-9818-6C92EBC0B03B}"/>
              </c:ext>
            </c:extLst>
          </c:dPt>
          <c:dPt>
            <c:idx val="4"/>
            <c:invertIfNegative val="0"/>
            <c:bubble3D val="0"/>
            <c:spPr>
              <a:solidFill>
                <a:srgbClr val="7E0021"/>
              </a:solidFill>
              <a:ln>
                <a:noFill/>
              </a:ln>
            </c:spPr>
            <c:extLst>
              <c:ext xmlns:c16="http://schemas.microsoft.com/office/drawing/2014/chart" uri="{C3380CC4-5D6E-409C-BE32-E72D297353CC}">
                <c16:uniqueId val="{00000005-5205-47CD-9818-6C92EBC0B03B}"/>
              </c:ext>
            </c:extLst>
          </c:dPt>
          <c:dPt>
            <c:idx val="5"/>
            <c:invertIfNegative val="0"/>
            <c:bubble3D val="0"/>
            <c:spPr>
              <a:solidFill>
                <a:srgbClr val="83CAFF"/>
              </a:solidFill>
              <a:ln>
                <a:noFill/>
              </a:ln>
            </c:spPr>
            <c:extLst>
              <c:ext xmlns:c16="http://schemas.microsoft.com/office/drawing/2014/chart" uri="{C3380CC4-5D6E-409C-BE32-E72D297353CC}">
                <c16:uniqueId val="{00000006-5205-47CD-9818-6C92EBC0B03B}"/>
              </c:ext>
            </c:extLst>
          </c:dPt>
          <c:cat>
            <c:strRef>
              <c:f>'Data Formatting'!$B$66:$B$71</c:f>
              <c:strCache>
                <c:ptCount val="6"/>
                <c:pt idx="0">
                  <c:v>I don't have the time</c:v>
                </c:pt>
                <c:pt idx="1">
                  <c:v>I don't believe I can have an impact</c:v>
                </c:pt>
                <c:pt idx="2">
                  <c:v>I believe it's up to those in power to lead</c:v>
                </c:pt>
                <c:pt idx="3">
                  <c:v>I don't like thinking about climate change</c:v>
                </c:pt>
                <c:pt idx="4">
                  <c:v>I feel stuck</c:v>
                </c:pt>
                <c:pt idx="5">
                  <c:v>I've done as much as I can</c:v>
                </c:pt>
              </c:strCache>
            </c:strRef>
          </c:cat>
          <c:val>
            <c:numRef>
              <c:f>'Data Formatting'!$C$66:$C$71</c:f>
              <c:numCache>
                <c:formatCode>General</c:formatCode>
                <c:ptCount val="6"/>
                <c:pt idx="0">
                  <c:v>31</c:v>
                </c:pt>
                <c:pt idx="1">
                  <c:v>10</c:v>
                </c:pt>
                <c:pt idx="2">
                  <c:v>18</c:v>
                </c:pt>
                <c:pt idx="3">
                  <c:v>2</c:v>
                </c:pt>
                <c:pt idx="4">
                  <c:v>11</c:v>
                </c:pt>
                <c:pt idx="5">
                  <c:v>13</c:v>
                </c:pt>
              </c:numCache>
            </c:numRef>
          </c:val>
          <c:extLst>
            <c:ext xmlns:c16="http://schemas.microsoft.com/office/drawing/2014/chart" uri="{C3380CC4-5D6E-409C-BE32-E72D297353CC}">
              <c16:uniqueId val="{00000000-5205-47CD-9818-6C92EBC0B03B}"/>
            </c:ext>
          </c:extLst>
        </c:ser>
        <c:dLbls>
          <c:showLegendKey val="0"/>
          <c:showVal val="0"/>
          <c:showCatName val="0"/>
          <c:showSerName val="0"/>
          <c:showPercent val="0"/>
          <c:showBubbleSize val="0"/>
        </c:dLbls>
        <c:gapWidth val="150"/>
        <c:axId val="978306208"/>
        <c:axId val="1122881392"/>
      </c:barChart>
      <c:valAx>
        <c:axId val="1122881392"/>
        <c:scaling>
          <c:orientation val="minMax"/>
        </c:scaling>
        <c:delete val="0"/>
        <c:axPos val="b"/>
        <c:majorGridlines>
          <c:spPr>
            <a:ln w="6480">
              <a:solidFill>
                <a:srgbClr val="B7B7B7"/>
              </a:solidFill>
            </a:ln>
          </c:spPr>
        </c:majorGridlines>
        <c:title>
          <c:tx>
            <c:rich>
              <a:bodyPr/>
              <a:lstStyle/>
              <a:p>
                <a:pPr>
                  <a:defRPr sz="1000" b="0" baseline="0">
                    <a:solidFill>
                      <a:srgbClr val="000000"/>
                    </a:solidFill>
                    <a:latin typeface="Arial"/>
                    <a:ea typeface="Arial"/>
                  </a:defRPr>
                </a:pPr>
                <a:r>
                  <a:rPr lang="en-GB" sz="1000" baseline="0">
                    <a:solidFill>
                      <a:srgbClr val="000000"/>
                    </a:solidFill>
                    <a:latin typeface="Arial"/>
                    <a:ea typeface="Arial"/>
                  </a:rPr>
                  <a:t>Frequency</a:t>
                </a:r>
              </a:p>
            </c:rich>
          </c:tx>
          <c:overlay val="0"/>
        </c:title>
        <c:numFmt formatCode="General" sourceLinked="0"/>
        <c:majorTickMark val="none"/>
        <c:minorTickMark val="none"/>
        <c:tickLblPos val="nextTo"/>
        <c:spPr>
          <a:ln>
            <a:noFill/>
          </a:ln>
        </c:spPr>
        <c:txPr>
          <a:bodyPr/>
          <a:lstStyle/>
          <a:p>
            <a:pPr>
              <a:defRPr sz="1000" b="0" baseline="0">
                <a:solidFill>
                  <a:srgbClr val="000000"/>
                </a:solidFill>
                <a:latin typeface="Arial"/>
                <a:ea typeface="Arial"/>
              </a:defRPr>
            </a:pPr>
            <a:endParaRPr lang="en-US"/>
          </a:p>
        </c:txPr>
        <c:crossAx val="978306208"/>
        <c:crosses val="max"/>
        <c:crossBetween val="between"/>
      </c:valAx>
      <c:catAx>
        <c:axId val="978306208"/>
        <c:scaling>
          <c:orientation val="maxMin"/>
        </c:scaling>
        <c:delete val="0"/>
        <c:axPos val="l"/>
        <c:title>
          <c:tx>
            <c:rich>
              <a:bodyPr/>
              <a:lstStyle/>
              <a:p>
                <a:pPr>
                  <a:defRPr sz="1000" b="0" baseline="0">
                    <a:solidFill>
                      <a:srgbClr val="000000"/>
                    </a:solidFill>
                    <a:latin typeface="Arial"/>
                    <a:ea typeface="Arial"/>
                  </a:defRPr>
                </a:pPr>
                <a:r>
                  <a:rPr lang="en-GB" sz="1000" baseline="0">
                    <a:solidFill>
                      <a:srgbClr val="000000"/>
                    </a:solidFill>
                    <a:latin typeface="Arial"/>
                    <a:ea typeface="Arial"/>
                  </a:rPr>
                  <a:t>Reason</a:t>
                </a:r>
              </a:p>
            </c:rich>
          </c:tx>
          <c:overlay val="0"/>
        </c:title>
        <c:numFmt formatCode="General" sourceLinked="1"/>
        <c:majorTickMark val="none"/>
        <c:minorTickMark val="none"/>
        <c:tickLblPos val="nextTo"/>
        <c:spPr>
          <a:ln>
            <a:noFill/>
          </a:ln>
        </c:spPr>
        <c:txPr>
          <a:bodyPr/>
          <a:lstStyle/>
          <a:p>
            <a:pPr>
              <a:defRPr sz="1000" b="0" baseline="0">
                <a:solidFill>
                  <a:srgbClr val="000000"/>
                </a:solidFill>
                <a:latin typeface="Arial"/>
                <a:ea typeface="Arial"/>
              </a:defRPr>
            </a:pPr>
            <a:endParaRPr lang="en-US"/>
          </a:p>
        </c:txPr>
        <c:crossAx val="1122881392"/>
        <c:crossesAt val="0"/>
        <c:auto val="1"/>
        <c:lblAlgn val="ctr"/>
        <c:lblOffset val="100"/>
        <c:noMultiLvlLbl val="0"/>
      </c:catAx>
      <c:spPr>
        <a:solidFill>
          <a:srgbClr val="FFFFFF"/>
        </a:solidFill>
      </c:spPr>
    </c:plotArea>
    <c:plotVisOnly val="1"/>
    <c:dispBlanksAs val="gap"/>
    <c:showDLblsOverMax val="0"/>
  </c:chart>
  <c:spPr>
    <a:ln>
      <a:noFill/>
    </a:ln>
  </c:spPr>
  <c:printSettings>
    <c:headerFooter/>
    <c:pageMargins b="0.75" l="0.7" r="0.7" t="0.75" header="0.3" footer="0.3"/>
    <c:pageSetup/>
  </c:printSettings>
</c:chartSpace>
</file>

<file path=xl/charts/chart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GB"/>
  <c:roundedCorners val="0"/>
  <c:style val="2"/>
  <c:chart>
    <c:title>
      <c:tx>
        <c:rich>
          <a:bodyPr/>
          <a:lstStyle/>
          <a:p>
            <a:pPr>
              <a:defRPr sz="1300" b="0"/>
            </a:pPr>
            <a:r>
              <a:rPr lang="en-GB"/>
              <a:t>Q6: I'd potentially be interested in...</a:t>
            </a:r>
          </a:p>
        </c:rich>
      </c:tx>
      <c:overlay val="0"/>
    </c:title>
    <c:autoTitleDeleted val="0"/>
    <c:plotArea>
      <c:layout>
        <c:manualLayout>
          <c:xMode val="edge"/>
          <c:yMode val="edge"/>
          <c:x val="1.8193440527118059E-2"/>
          <c:y val="0.14278827612803702"/>
          <c:w val="0.96243300388454534"/>
          <c:h val="0.66322792132664876"/>
        </c:manualLayout>
      </c:layout>
      <c:barChart>
        <c:barDir val="bar"/>
        <c:grouping val="clustered"/>
        <c:varyColors val="0"/>
        <c:ser>
          <c:idx val="0"/>
          <c:order val="0"/>
          <c:tx>
            <c:strRef>
              <c:f>'Data Formatting'!$C$79:$C$80</c:f>
              <c:strCache>
                <c:ptCount val="2"/>
                <c:pt idx="0">
                  <c:v>54</c:v>
                </c:pt>
                <c:pt idx="1">
                  <c:v>25</c:v>
                </c:pt>
              </c:strCache>
            </c:strRef>
          </c:tx>
          <c:spPr>
            <a:solidFill>
              <a:srgbClr val="4285F4"/>
            </a:solidFill>
            <a:ln>
              <a:noFill/>
            </a:ln>
          </c:spPr>
          <c:invertIfNegative val="0"/>
          <c:dPt>
            <c:idx val="0"/>
            <c:invertIfNegative val="0"/>
            <c:bubble3D val="0"/>
            <c:spPr>
              <a:solidFill>
                <a:srgbClr val="004586"/>
              </a:solidFill>
              <a:ln>
                <a:noFill/>
              </a:ln>
            </c:spPr>
            <c:extLst>
              <c:ext xmlns:c16="http://schemas.microsoft.com/office/drawing/2014/chart" uri="{C3380CC4-5D6E-409C-BE32-E72D297353CC}">
                <c16:uniqueId val="{00000001-6019-4766-8F30-0DF03151816B}"/>
              </c:ext>
            </c:extLst>
          </c:dPt>
          <c:dPt>
            <c:idx val="1"/>
            <c:invertIfNegative val="0"/>
            <c:bubble3D val="0"/>
            <c:spPr>
              <a:solidFill>
                <a:srgbClr val="FF420E"/>
              </a:solidFill>
              <a:ln>
                <a:noFill/>
              </a:ln>
            </c:spPr>
            <c:extLst>
              <c:ext xmlns:c16="http://schemas.microsoft.com/office/drawing/2014/chart" uri="{C3380CC4-5D6E-409C-BE32-E72D297353CC}">
                <c16:uniqueId val="{00000002-6019-4766-8F30-0DF03151816B}"/>
              </c:ext>
            </c:extLst>
          </c:dPt>
          <c:dPt>
            <c:idx val="2"/>
            <c:invertIfNegative val="0"/>
            <c:bubble3D val="0"/>
            <c:spPr>
              <a:solidFill>
                <a:srgbClr val="FFD320"/>
              </a:solidFill>
              <a:ln>
                <a:noFill/>
              </a:ln>
            </c:spPr>
            <c:extLst>
              <c:ext xmlns:c16="http://schemas.microsoft.com/office/drawing/2014/chart" uri="{C3380CC4-5D6E-409C-BE32-E72D297353CC}">
                <c16:uniqueId val="{00000003-6019-4766-8F30-0DF03151816B}"/>
              </c:ext>
            </c:extLst>
          </c:dPt>
          <c:dPt>
            <c:idx val="3"/>
            <c:invertIfNegative val="0"/>
            <c:bubble3D val="0"/>
            <c:spPr>
              <a:solidFill>
                <a:srgbClr val="579D1C"/>
              </a:solidFill>
              <a:ln>
                <a:noFill/>
              </a:ln>
            </c:spPr>
            <c:extLst>
              <c:ext xmlns:c16="http://schemas.microsoft.com/office/drawing/2014/chart" uri="{C3380CC4-5D6E-409C-BE32-E72D297353CC}">
                <c16:uniqueId val="{00000004-6019-4766-8F30-0DF03151816B}"/>
              </c:ext>
            </c:extLst>
          </c:dPt>
          <c:dPt>
            <c:idx val="4"/>
            <c:invertIfNegative val="0"/>
            <c:bubble3D val="0"/>
            <c:spPr>
              <a:solidFill>
                <a:srgbClr val="7E0021"/>
              </a:solidFill>
              <a:ln>
                <a:noFill/>
              </a:ln>
            </c:spPr>
            <c:extLst>
              <c:ext xmlns:c16="http://schemas.microsoft.com/office/drawing/2014/chart" uri="{C3380CC4-5D6E-409C-BE32-E72D297353CC}">
                <c16:uniqueId val="{00000005-6019-4766-8F30-0DF03151816B}"/>
              </c:ext>
            </c:extLst>
          </c:dPt>
          <c:dPt>
            <c:idx val="5"/>
            <c:invertIfNegative val="0"/>
            <c:bubble3D val="0"/>
            <c:spPr>
              <a:solidFill>
                <a:srgbClr val="83CAFF"/>
              </a:solidFill>
              <a:ln>
                <a:noFill/>
              </a:ln>
            </c:spPr>
            <c:extLst>
              <c:ext xmlns:c16="http://schemas.microsoft.com/office/drawing/2014/chart" uri="{C3380CC4-5D6E-409C-BE32-E72D297353CC}">
                <c16:uniqueId val="{00000006-6019-4766-8F30-0DF03151816B}"/>
              </c:ext>
            </c:extLst>
          </c:dPt>
          <c:cat>
            <c:strRef>
              <c:f>'Data Formatting'!$B$81:$B$86</c:f>
              <c:strCache>
                <c:ptCount val="6"/>
                <c:pt idx="0">
                  <c:v>Opportunities to talk about my feelings about climate change</c:v>
                </c:pt>
                <c:pt idx="1">
                  <c:v>Practical tasks or projects</c:v>
                </c:pt>
                <c:pt idx="2">
                  <c:v>Sharing my skills and knowledge with others</c:v>
                </c:pt>
                <c:pt idx="3">
                  <c:v>Setting up locally run projects or campaigns</c:v>
                </c:pt>
                <c:pt idx="4">
                  <c:v>Attending protests</c:v>
                </c:pt>
                <c:pt idx="5">
                  <c:v>None of the above</c:v>
                </c:pt>
              </c:strCache>
            </c:strRef>
          </c:cat>
          <c:val>
            <c:numRef>
              <c:f>'Data Formatting'!$C$81:$C$86</c:f>
              <c:numCache>
                <c:formatCode>General</c:formatCode>
                <c:ptCount val="6"/>
                <c:pt idx="0">
                  <c:v>12</c:v>
                </c:pt>
                <c:pt idx="1">
                  <c:v>51</c:v>
                </c:pt>
                <c:pt idx="2">
                  <c:v>14</c:v>
                </c:pt>
                <c:pt idx="3">
                  <c:v>23</c:v>
                </c:pt>
                <c:pt idx="4">
                  <c:v>13</c:v>
                </c:pt>
                <c:pt idx="5">
                  <c:v>17</c:v>
                </c:pt>
              </c:numCache>
            </c:numRef>
          </c:val>
          <c:extLst>
            <c:ext xmlns:c16="http://schemas.microsoft.com/office/drawing/2014/chart" uri="{C3380CC4-5D6E-409C-BE32-E72D297353CC}">
              <c16:uniqueId val="{00000000-6019-4766-8F30-0DF03151816B}"/>
            </c:ext>
          </c:extLst>
        </c:ser>
        <c:dLbls>
          <c:showLegendKey val="0"/>
          <c:showVal val="0"/>
          <c:showCatName val="0"/>
          <c:showSerName val="0"/>
          <c:showPercent val="0"/>
          <c:showBubbleSize val="0"/>
        </c:dLbls>
        <c:gapWidth val="150"/>
        <c:axId val="978311776"/>
        <c:axId val="1122869392"/>
      </c:barChart>
      <c:valAx>
        <c:axId val="1122869392"/>
        <c:scaling>
          <c:orientation val="minMax"/>
        </c:scaling>
        <c:delete val="0"/>
        <c:axPos val="b"/>
        <c:majorGridlines>
          <c:spPr>
            <a:ln w="6480">
              <a:solidFill>
                <a:srgbClr val="B7B7B7"/>
              </a:solidFill>
            </a:ln>
          </c:spPr>
        </c:majorGridlines>
        <c:title>
          <c:tx>
            <c:rich>
              <a:bodyPr/>
              <a:lstStyle/>
              <a:p>
                <a:pPr>
                  <a:defRPr sz="1000" b="0" baseline="0">
                    <a:solidFill>
                      <a:srgbClr val="000000"/>
                    </a:solidFill>
                    <a:latin typeface="Arial"/>
                    <a:ea typeface="Arial"/>
                  </a:defRPr>
                </a:pPr>
                <a:r>
                  <a:rPr lang="en-GB" sz="1000" baseline="0">
                    <a:solidFill>
                      <a:srgbClr val="000000"/>
                    </a:solidFill>
                    <a:latin typeface="Arial"/>
                    <a:ea typeface="Arial"/>
                  </a:rPr>
                  <a:t>Frequency</a:t>
                </a:r>
              </a:p>
            </c:rich>
          </c:tx>
          <c:overlay val="0"/>
        </c:title>
        <c:numFmt formatCode="General" sourceLinked="0"/>
        <c:majorTickMark val="none"/>
        <c:minorTickMark val="none"/>
        <c:tickLblPos val="nextTo"/>
        <c:spPr>
          <a:ln>
            <a:noFill/>
          </a:ln>
        </c:spPr>
        <c:txPr>
          <a:bodyPr/>
          <a:lstStyle/>
          <a:p>
            <a:pPr>
              <a:defRPr sz="1000" b="0" baseline="0">
                <a:solidFill>
                  <a:srgbClr val="000000"/>
                </a:solidFill>
                <a:latin typeface="Arial"/>
                <a:ea typeface="Arial"/>
              </a:defRPr>
            </a:pPr>
            <a:endParaRPr lang="en-US"/>
          </a:p>
        </c:txPr>
        <c:crossAx val="978311776"/>
        <c:crosses val="max"/>
        <c:crossBetween val="between"/>
      </c:valAx>
      <c:catAx>
        <c:axId val="978311776"/>
        <c:scaling>
          <c:orientation val="maxMin"/>
        </c:scaling>
        <c:delete val="0"/>
        <c:axPos val="l"/>
        <c:title>
          <c:tx>
            <c:rich>
              <a:bodyPr/>
              <a:lstStyle/>
              <a:p>
                <a:pPr>
                  <a:defRPr sz="1000" b="0" baseline="0">
                    <a:solidFill>
                      <a:srgbClr val="000000"/>
                    </a:solidFill>
                    <a:latin typeface="Arial"/>
                    <a:ea typeface="Arial"/>
                  </a:defRPr>
                </a:pPr>
                <a:r>
                  <a:rPr lang="en-GB" sz="1000" baseline="0">
                    <a:solidFill>
                      <a:srgbClr val="000000"/>
                    </a:solidFill>
                    <a:latin typeface="Arial"/>
                    <a:ea typeface="Arial"/>
                  </a:rPr>
                  <a:t>Interest</a:t>
                </a:r>
              </a:p>
            </c:rich>
          </c:tx>
          <c:overlay val="0"/>
        </c:title>
        <c:numFmt formatCode="General" sourceLinked="1"/>
        <c:majorTickMark val="none"/>
        <c:minorTickMark val="none"/>
        <c:tickLblPos val="nextTo"/>
        <c:spPr>
          <a:ln>
            <a:noFill/>
          </a:ln>
        </c:spPr>
        <c:txPr>
          <a:bodyPr/>
          <a:lstStyle/>
          <a:p>
            <a:pPr>
              <a:defRPr sz="1000" b="0" baseline="0">
                <a:solidFill>
                  <a:srgbClr val="000000"/>
                </a:solidFill>
                <a:latin typeface="Arial"/>
                <a:ea typeface="Arial"/>
              </a:defRPr>
            </a:pPr>
            <a:endParaRPr lang="en-US"/>
          </a:p>
        </c:txPr>
        <c:crossAx val="1122869392"/>
        <c:crossesAt val="0"/>
        <c:auto val="1"/>
        <c:lblAlgn val="ctr"/>
        <c:lblOffset val="100"/>
        <c:noMultiLvlLbl val="0"/>
      </c:catAx>
      <c:spPr>
        <a:solidFill>
          <a:srgbClr val="FFFFFF"/>
        </a:solidFill>
      </c:spPr>
    </c:plotArea>
    <c:plotVisOnly val="1"/>
    <c:dispBlanksAs val="gap"/>
    <c:showDLblsOverMax val="0"/>
  </c:chart>
  <c:spPr>
    <a:ln>
      <a:noFill/>
    </a:ln>
  </c:spPr>
  <c:printSettings>
    <c:headerFooter/>
    <c:pageMargins b="0.75" l="0.7" r="0.7" t="0.75" header="0.3" footer="0.3"/>
    <c:pageSetup/>
  </c:printSettings>
</c:chartSpace>
</file>

<file path=xl/charts/chart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GB"/>
  <c:roundedCorners val="0"/>
  <c:style val="2"/>
  <c:chart>
    <c:title>
      <c:tx>
        <c:rich>
          <a:bodyPr/>
          <a:lstStyle/>
          <a:p>
            <a:pPr>
              <a:defRPr sz="1300" b="0"/>
            </a:pPr>
            <a:r>
              <a:rPr lang="en-GB"/>
              <a:t>Q10: How old are you?</a:t>
            </a:r>
          </a:p>
        </c:rich>
      </c:tx>
      <c:overlay val="0"/>
    </c:title>
    <c:autoTitleDeleted val="0"/>
    <c:plotArea>
      <c:layout/>
      <c:pieChart>
        <c:varyColors val="1"/>
        <c:ser>
          <c:idx val="0"/>
          <c:order val="0"/>
          <c:dPt>
            <c:idx val="0"/>
            <c:bubble3D val="0"/>
            <c:spPr>
              <a:solidFill>
                <a:srgbClr val="4285F4"/>
              </a:solidFill>
            </c:spPr>
            <c:extLst>
              <c:ext xmlns:c16="http://schemas.microsoft.com/office/drawing/2014/chart" uri="{C3380CC4-5D6E-409C-BE32-E72D297353CC}">
                <c16:uniqueId val="{00000001-A09F-4D3E-A6ED-C837BAC86AB7}"/>
              </c:ext>
            </c:extLst>
          </c:dPt>
          <c:dPt>
            <c:idx val="1"/>
            <c:bubble3D val="0"/>
            <c:spPr>
              <a:solidFill>
                <a:srgbClr val="EA4335"/>
              </a:solidFill>
            </c:spPr>
            <c:extLst>
              <c:ext xmlns:c16="http://schemas.microsoft.com/office/drawing/2014/chart" uri="{C3380CC4-5D6E-409C-BE32-E72D297353CC}">
                <c16:uniqueId val="{00000002-A09F-4D3E-A6ED-C837BAC86AB7}"/>
              </c:ext>
            </c:extLst>
          </c:dPt>
          <c:dPt>
            <c:idx val="2"/>
            <c:bubble3D val="0"/>
            <c:spPr>
              <a:solidFill>
                <a:srgbClr val="FBBC04"/>
              </a:solidFill>
            </c:spPr>
            <c:extLst>
              <c:ext xmlns:c16="http://schemas.microsoft.com/office/drawing/2014/chart" uri="{C3380CC4-5D6E-409C-BE32-E72D297353CC}">
                <c16:uniqueId val="{00000003-A09F-4D3E-A6ED-C837BAC86AB7}"/>
              </c:ext>
            </c:extLst>
          </c:dPt>
          <c:dPt>
            <c:idx val="3"/>
            <c:bubble3D val="0"/>
            <c:spPr>
              <a:solidFill>
                <a:srgbClr val="34A853"/>
              </a:solidFill>
            </c:spPr>
            <c:extLst>
              <c:ext xmlns:c16="http://schemas.microsoft.com/office/drawing/2014/chart" uri="{C3380CC4-5D6E-409C-BE32-E72D297353CC}">
                <c16:uniqueId val="{00000004-A09F-4D3E-A6ED-C837BAC86AB7}"/>
              </c:ext>
            </c:extLst>
          </c:dPt>
          <c:dPt>
            <c:idx val="4"/>
            <c:bubble3D val="0"/>
            <c:spPr>
              <a:solidFill>
                <a:srgbClr val="FF6D01"/>
              </a:solidFill>
            </c:spPr>
            <c:extLst>
              <c:ext xmlns:c16="http://schemas.microsoft.com/office/drawing/2014/chart" uri="{C3380CC4-5D6E-409C-BE32-E72D297353CC}">
                <c16:uniqueId val="{00000005-A09F-4D3E-A6ED-C837BAC86AB7}"/>
              </c:ext>
            </c:extLst>
          </c:dPt>
          <c:dPt>
            <c:idx val="5"/>
            <c:bubble3D val="0"/>
            <c:spPr>
              <a:solidFill>
                <a:srgbClr val="46BDC6"/>
              </a:solidFill>
            </c:spPr>
            <c:extLst>
              <c:ext xmlns:c16="http://schemas.microsoft.com/office/drawing/2014/chart" uri="{C3380CC4-5D6E-409C-BE32-E72D297353CC}">
                <c16:uniqueId val="{00000006-A09F-4D3E-A6ED-C837BAC86AB7}"/>
              </c:ext>
            </c:extLst>
          </c:dPt>
          <c:cat>
            <c:strRef>
              <c:f>'Data Formatting'!$B$91:$B$96</c:f>
              <c:strCache>
                <c:ptCount val="6"/>
                <c:pt idx="0">
                  <c:v>16-24</c:v>
                </c:pt>
                <c:pt idx="1">
                  <c:v>25-34</c:v>
                </c:pt>
                <c:pt idx="2">
                  <c:v>35-44</c:v>
                </c:pt>
                <c:pt idx="3">
                  <c:v>45-54</c:v>
                </c:pt>
                <c:pt idx="4">
                  <c:v>55-64</c:v>
                </c:pt>
                <c:pt idx="5">
                  <c:v>Over 65</c:v>
                </c:pt>
              </c:strCache>
            </c:strRef>
          </c:cat>
          <c:val>
            <c:numRef>
              <c:f>'Data Formatting'!$C$91:$C$96</c:f>
              <c:numCache>
                <c:formatCode>General</c:formatCode>
                <c:ptCount val="6"/>
                <c:pt idx="0">
                  <c:v>2</c:v>
                </c:pt>
                <c:pt idx="1">
                  <c:v>1</c:v>
                </c:pt>
                <c:pt idx="2">
                  <c:v>13</c:v>
                </c:pt>
                <c:pt idx="3">
                  <c:v>28</c:v>
                </c:pt>
                <c:pt idx="4">
                  <c:v>19</c:v>
                </c:pt>
                <c:pt idx="5">
                  <c:v>29</c:v>
                </c:pt>
              </c:numCache>
            </c:numRef>
          </c:val>
          <c:extLst>
            <c:ext xmlns:c16="http://schemas.microsoft.com/office/drawing/2014/chart" uri="{C3380CC4-5D6E-409C-BE32-E72D297353CC}">
              <c16:uniqueId val="{00000000-A09F-4D3E-A6ED-C837BAC86AB7}"/>
            </c:ext>
          </c:extLst>
        </c:ser>
        <c:dLbls>
          <c:showLegendKey val="0"/>
          <c:showVal val="0"/>
          <c:showCatName val="0"/>
          <c:showSerName val="0"/>
          <c:showPercent val="0"/>
          <c:showBubbleSize val="0"/>
          <c:showLeaderLines val="1"/>
        </c:dLbls>
        <c:firstSliceAng val="90"/>
      </c:pieChart>
      <c:spPr>
        <a:solidFill>
          <a:srgbClr val="FFFFFF"/>
        </a:solidFill>
      </c:spPr>
    </c:plotArea>
    <c:legend>
      <c:legendPos val="r"/>
      <c:overlay val="0"/>
      <c:spPr>
        <a:noFill/>
        <a:ln>
          <a:noFill/>
        </a:ln>
      </c:spPr>
      <c:txPr>
        <a:bodyPr/>
        <a:lstStyle/>
        <a:p>
          <a:pPr>
            <a:defRPr sz="1000" b="0" baseline="0">
              <a:solidFill>
                <a:srgbClr val="1A1A1A"/>
              </a:solidFill>
              <a:latin typeface="Arial"/>
              <a:ea typeface="Arial"/>
            </a:defRPr>
          </a:pPr>
          <a:endParaRPr lang="en-US"/>
        </a:p>
      </c:txPr>
    </c:legend>
    <c:plotVisOnly val="1"/>
    <c:dispBlanksAs val="gap"/>
    <c:showDLblsOverMax val="0"/>
  </c:chart>
  <c:spPr>
    <a:ln>
      <a:noFill/>
    </a:ln>
  </c:spPr>
  <c:printSettings>
    <c:headerFooter/>
    <c:pageMargins b="0.75" l="0.7" r="0.7" t="0.75" header="0.3" footer="0.3"/>
    <c:pageSetup/>
  </c:printSettings>
</c:chartSpace>
</file>

<file path=xl/drawings/_rels/drawing1.xml.rels><?xml version="1.0" encoding="UTF-8" standalone="yes"?>
<Relationships xmlns="http://schemas.openxmlformats.org/package/2006/relationships"><Relationship Id="rId3" Type="http://schemas.openxmlformats.org/officeDocument/2006/relationships/chart" Target="../charts/chart3.xml"/><Relationship Id="rId7" Type="http://schemas.openxmlformats.org/officeDocument/2006/relationships/chart" Target="../charts/chart7.xml"/><Relationship Id="rId2" Type="http://schemas.openxmlformats.org/officeDocument/2006/relationships/chart" Target="../charts/chart2.xml"/><Relationship Id="rId1" Type="http://schemas.openxmlformats.org/officeDocument/2006/relationships/chart" Target="../charts/chart1.xml"/><Relationship Id="rId6" Type="http://schemas.openxmlformats.org/officeDocument/2006/relationships/chart" Target="../charts/chart6.xml"/><Relationship Id="rId5" Type="http://schemas.openxmlformats.org/officeDocument/2006/relationships/chart" Target="../charts/chart5.xml"/><Relationship Id="rId4" Type="http://schemas.openxmlformats.org/officeDocument/2006/relationships/chart" Target="../charts/chart4.xml"/></Relationships>
</file>

<file path=xl/drawings/drawing1.xml><?xml version="1.0" encoding="utf-8"?>
<xdr:wsDr xmlns:xdr="http://schemas.openxmlformats.org/drawingml/2006/spreadsheetDrawing" xmlns:a="http://schemas.openxmlformats.org/drawingml/2006/main">
  <xdr:oneCellAnchor>
    <xdr:from>
      <xdr:col>0</xdr:col>
      <xdr:colOff>227160</xdr:colOff>
      <xdr:row>1</xdr:row>
      <xdr:rowOff>171360</xdr:rowOff>
    </xdr:from>
    <xdr:ext cx="4314600" cy="3511080"/>
    <xdr:graphicFrame macro="">
      <xdr:nvGraphicFramePr>
        <xdr:cNvPr id="2" name="Chart 1">
          <a:extLst>
            <a:ext uri="{FF2B5EF4-FFF2-40B4-BE49-F238E27FC236}">
              <a16:creationId xmlns:a16="http://schemas.microsoft.com/office/drawing/2014/main" id="{63278641-2924-03EF-1152-C999852CDC76}"/>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oneCellAnchor>
  <xdr:oneCellAnchor>
    <xdr:from>
      <xdr:col>6</xdr:col>
      <xdr:colOff>207000</xdr:colOff>
      <xdr:row>2</xdr:row>
      <xdr:rowOff>9720</xdr:rowOff>
    </xdr:from>
    <xdr:ext cx="5638320" cy="3468600"/>
    <xdr:graphicFrame macro="">
      <xdr:nvGraphicFramePr>
        <xdr:cNvPr id="3" name="Chart 2">
          <a:extLst>
            <a:ext uri="{FF2B5EF4-FFF2-40B4-BE49-F238E27FC236}">
              <a16:creationId xmlns:a16="http://schemas.microsoft.com/office/drawing/2014/main" id="{15C6CBCA-72B2-8947-DA01-56AAE021B449}"/>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oneCellAnchor>
  <xdr:oneCellAnchor>
    <xdr:from>
      <xdr:col>0</xdr:col>
      <xdr:colOff>227880</xdr:colOff>
      <xdr:row>21</xdr:row>
      <xdr:rowOff>9360</xdr:rowOff>
    </xdr:from>
    <xdr:ext cx="7086240" cy="4552560"/>
    <xdr:graphicFrame macro="">
      <xdr:nvGraphicFramePr>
        <xdr:cNvPr id="4" name="Chart 3">
          <a:extLst>
            <a:ext uri="{FF2B5EF4-FFF2-40B4-BE49-F238E27FC236}">
              <a16:creationId xmlns:a16="http://schemas.microsoft.com/office/drawing/2014/main" id="{50A00D61-64E6-A239-99E0-4248F5A27CE8}"/>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
        </a:graphicData>
      </a:graphic>
    </xdr:graphicFrame>
    <xdr:clientData/>
  </xdr:oneCellAnchor>
  <xdr:oneCellAnchor>
    <xdr:from>
      <xdr:col>9</xdr:col>
      <xdr:colOff>221400</xdr:colOff>
      <xdr:row>20</xdr:row>
      <xdr:rowOff>199305</xdr:rowOff>
    </xdr:from>
    <xdr:ext cx="6425280" cy="4552560"/>
    <xdr:graphicFrame macro="">
      <xdr:nvGraphicFramePr>
        <xdr:cNvPr id="5" name="Chart 4">
          <a:extLst>
            <a:ext uri="{FF2B5EF4-FFF2-40B4-BE49-F238E27FC236}">
              <a16:creationId xmlns:a16="http://schemas.microsoft.com/office/drawing/2014/main" id="{0DA53CB9-11BD-DA98-40A0-7E9DB339268B}"/>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4"/>
        </a:graphicData>
      </a:graphic>
    </xdr:graphicFrame>
    <xdr:clientData/>
  </xdr:oneCellAnchor>
  <xdr:oneCellAnchor>
    <xdr:from>
      <xdr:col>1</xdr:col>
      <xdr:colOff>28440</xdr:colOff>
      <xdr:row>44</xdr:row>
      <xdr:rowOff>171360</xdr:rowOff>
    </xdr:from>
    <xdr:ext cx="6207119" cy="3733560"/>
    <xdr:graphicFrame macro="">
      <xdr:nvGraphicFramePr>
        <xdr:cNvPr id="6" name="Chart 5">
          <a:extLst>
            <a:ext uri="{FF2B5EF4-FFF2-40B4-BE49-F238E27FC236}">
              <a16:creationId xmlns:a16="http://schemas.microsoft.com/office/drawing/2014/main" id="{7A35F367-16C9-859B-EB0D-8C4B7693703B}"/>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5"/>
        </a:graphicData>
      </a:graphic>
    </xdr:graphicFrame>
    <xdr:clientData/>
  </xdr:oneCellAnchor>
  <xdr:oneCellAnchor>
    <xdr:from>
      <xdr:col>8</xdr:col>
      <xdr:colOff>277200</xdr:colOff>
      <xdr:row>44</xdr:row>
      <xdr:rowOff>181080</xdr:rowOff>
    </xdr:from>
    <xdr:ext cx="7320960" cy="3733560"/>
    <xdr:graphicFrame macro="">
      <xdr:nvGraphicFramePr>
        <xdr:cNvPr id="7" name="Chart 6">
          <a:extLst>
            <a:ext uri="{FF2B5EF4-FFF2-40B4-BE49-F238E27FC236}">
              <a16:creationId xmlns:a16="http://schemas.microsoft.com/office/drawing/2014/main" id="{7199A8BB-CF50-FAF1-B810-CC9F3BF8B98E}"/>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6"/>
        </a:graphicData>
      </a:graphic>
    </xdr:graphicFrame>
    <xdr:clientData/>
  </xdr:oneCellAnchor>
  <xdr:oneCellAnchor>
    <xdr:from>
      <xdr:col>1</xdr:col>
      <xdr:colOff>19080</xdr:colOff>
      <xdr:row>64</xdr:row>
      <xdr:rowOff>190440</xdr:rowOff>
    </xdr:from>
    <xdr:ext cx="4247640" cy="3409560"/>
    <xdr:graphicFrame macro="">
      <xdr:nvGraphicFramePr>
        <xdr:cNvPr id="8" name="Chart 7">
          <a:extLst>
            <a:ext uri="{FF2B5EF4-FFF2-40B4-BE49-F238E27FC236}">
              <a16:creationId xmlns:a16="http://schemas.microsoft.com/office/drawing/2014/main" id="{D248A767-07FE-1636-14FE-BA7D76282A7C}"/>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7"/>
        </a:graphicData>
      </a:graphic>
    </xdr:graphicFrame>
    <xdr:clientData/>
  </xdr:oneCellAnchor>
</xdr:wsDr>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2FC0700D-6209-4CF1-B4A7-CC1E91301C89}" name="Form_Responses" displayName="Form_Responses" ref="A1:K69" totalsRowShown="0">
  <tableColumns count="11">
    <tableColumn id="1" xr3:uid="{9C0504A3-5338-4BAB-BA72-E94036B71066}" name="Timestamp"/>
    <tableColumn id="2" xr3:uid="{A6C1E63D-A735-4165-8420-3540DF74AAD0}" name="Are you answering as an individual, on behalf of a household, or on behalf of a business?"/>
    <tableColumn id="3" xr3:uid="{136F719D-BE07-49F3-89BF-7ED9C3B9396D}" name="On a scale of 0-5, how much do you think Twyford should focus on addressing climate change and its impacts?"/>
    <tableColumn id="4" xr3:uid="{C4C49198-9473-4EFB-9B44-7D6EA93280D5}" name="What are your biggest concerns about the effects of climate change? (Select any/all that apply)"/>
    <tableColumn id="5" xr3:uid="{22821EE1-52DA-4F46-9291-D5AD6957D078}" name="What steps have you/your household/your business taken to reduce the impact of climate change? (Select any/all that apply)"/>
    <tableColumn id="6" xr3:uid="{39FCE326-0BA6-41C4-822E-32FC4B011BDF}" name="What are the things that hold you back from doing more? (Select any/all that apply)"/>
    <tableColumn id="7" xr3:uid="{8091962F-8FC3-47BF-A6FA-7F591B481C50}" name="I'd potentially be interested in... (select any/all that apply)"/>
    <tableColumn id="8" xr3:uid="{531976CE-B89A-4FB8-98B3-600DC7065ECD}" name="What do you think we could do as a village to have the greatest impact on the climate?"/>
    <tableColumn id="9" xr3:uid="{2DE0D6F1-6548-44DF-BFAE-93CE56B157C5}" name="We need a great name for our group - any ideas?"/>
    <tableColumn id="10" xr3:uid="{AFDD07DC-EBAD-406E-86E0-FAA1666CB2C6}" name="If there's anything else you want to share with us, please add your comments here:"/>
    <tableColumn id="11" xr3:uid="{59B2F50C-AD64-43B6-BF02-20414B8B710D}" name="How old are you?"/>
  </tableColumns>
  <tableStyleInfo showFirstColumn="0" showLastColumn="0" showRowStripes="1" showColumnStripes="0"/>
</table>
</file>

<file path=xl/tables/table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 xr:uid="{A668ADA1-37B3-4BFE-8D2E-AE39D1439D6B}" name="Table_1" displayName="Table_1" ref="A1:AB150" headerRowCount="0" totalsRowShown="0">
  <tableColumns count="28">
    <tableColumn id="1" xr3:uid="{0C411D25-83EB-4E9E-B214-A34A1DBFD77A}" name="Column1"/>
    <tableColumn id="2" xr3:uid="{669CF8A5-9CBF-4482-81AF-55115BDAB4C3}" name="Column2"/>
    <tableColumn id="3" xr3:uid="{388CF222-FF19-42C2-8EBB-B75E72B2380F}" name="Column3"/>
    <tableColumn id="4" xr3:uid="{7B4D5A8C-96D8-4601-ABD1-C90149EE4144}" name="Column4"/>
    <tableColumn id="5" xr3:uid="{F7A69A3F-086F-485C-A269-EA063F0A6AFE}" name="Column5"/>
    <tableColumn id="6" xr3:uid="{E385B0A3-37D3-4B26-8E06-4ACCD90A7AD1}" name="Column6"/>
    <tableColumn id="7" xr3:uid="{2E806371-E630-453C-A88E-6E8D8F8150CB}" name="Column7"/>
    <tableColumn id="8" xr3:uid="{EDFBBCF4-63AF-40F5-9BFB-F16056C8649D}" name="Column8"/>
    <tableColumn id="9" xr3:uid="{90E8E33B-8C66-4E63-8E18-05E3A8D8DE22}" name="Column9"/>
    <tableColumn id="10" xr3:uid="{4103CC3E-4548-4402-BE39-BB10DC796CA0}" name="Column10"/>
    <tableColumn id="11" xr3:uid="{CBFAF4F9-739C-4757-A86E-490958A2F764}" name="Column11"/>
    <tableColumn id="12" xr3:uid="{C7E8B625-7C89-43D5-A07F-485915D67749}" name="Column12"/>
    <tableColumn id="13" xr3:uid="{2978A0C4-EBEC-4491-B745-071560B6E9E5}" name="Column13"/>
    <tableColumn id="14" xr3:uid="{7E96E388-EBC3-4AE1-B900-1D8CC65A89CB}" name="Column14"/>
    <tableColumn id="15" xr3:uid="{4DF04EBB-7450-4792-AB22-595C51522D73}" name="Column15"/>
    <tableColumn id="16" xr3:uid="{B7EFD935-BBDD-45BD-B455-6DF9531AD680}" name="Column16"/>
    <tableColumn id="17" xr3:uid="{D64E09E3-F970-4611-AA0D-055E123DCCD0}" name="Column17"/>
    <tableColumn id="18" xr3:uid="{53E69704-9BAC-4EC2-9104-A06FF1EE759C}" name="Column18"/>
    <tableColumn id="19" xr3:uid="{5D43390D-3C55-4E25-8253-A92BBEEB82A7}" name="Column19"/>
    <tableColumn id="20" xr3:uid="{458621B1-2F15-449B-AE71-D12A085044D4}" name="Column20"/>
    <tableColumn id="21" xr3:uid="{334EC49F-A146-4B69-8D91-10FAC2DCB360}" name="Column21"/>
    <tableColumn id="22" xr3:uid="{CDB3B9F1-5B73-439D-9958-BA19391D3611}" name="Column22"/>
    <tableColumn id="23" xr3:uid="{97F0E82C-97EA-489E-B5D0-F2AF93BC3CF5}" name="Column23"/>
    <tableColumn id="24" xr3:uid="{9B8C44ED-D4E1-4C28-9B4F-599A69358B70}" name="Column24"/>
    <tableColumn id="25" xr3:uid="{ECEF5421-E8C4-46F0-8510-956FD3084B81}" name="Column25"/>
    <tableColumn id="26" xr3:uid="{C965A42B-6B81-40C3-B53B-1BBB3085A832}" name="Column26"/>
    <tableColumn id="27" xr3:uid="{539219EE-3D41-43F0-BECC-0B895D21D852}" name="Column27"/>
    <tableColumn id="28" xr3:uid="{0DBFA36C-C474-4213-9FC6-857B9C6766C2}" name="Column28"/>
  </tableColumns>
  <tableStyleInfo showFirstColumn="0" showLastColumn="0" showRowStripes="1"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2.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table" Target="../tables/table1.xml"/><Relationship Id="rId1" Type="http://schemas.openxmlformats.org/officeDocument/2006/relationships/vmlDrawing" Target="../drawings/vmlDrawing1.vml"/></Relationships>
</file>

<file path=xl/worksheets/_rels/sheet4.xml.rels><?xml version="1.0" encoding="UTF-8" standalone="yes"?>
<Relationships xmlns="http://schemas.openxmlformats.org/package/2006/relationships"><Relationship Id="rId1" Type="http://schemas.openxmlformats.org/officeDocument/2006/relationships/table" Target="../tables/table2.xml"/></Relationships>
</file>

<file path=xl/worksheets/_rels/sheet6.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53C1552-DB7C-44F6-8A0F-70BD90B2B286}">
  <dimension ref="B2:B5"/>
  <sheetViews>
    <sheetView workbookViewId="0"/>
  </sheetViews>
  <sheetFormatPr defaultColWidth="12.140625" defaultRowHeight="15"/>
  <cols>
    <col min="1" max="1" width="3.28515625" style="1" customWidth="1"/>
    <col min="2" max="3" width="12.140625" style="1" customWidth="1"/>
    <col min="4" max="16384" width="12.140625" style="1"/>
  </cols>
  <sheetData>
    <row r="2" spans="2:2">
      <c r="B2" s="1" t="s">
        <v>0</v>
      </c>
    </row>
    <row r="3" spans="2:2">
      <c r="B3" s="1" t="s">
        <v>1</v>
      </c>
    </row>
    <row r="5" spans="2:2">
      <c r="B5" s="1" t="s">
        <v>2</v>
      </c>
    </row>
  </sheetData>
  <pageMargins left="0" right="0" top="0.39370078740157483" bottom="0.39370078740157483" header="0" footer="0"/>
  <pageSetup paperSize="0" fitToWidth="0" fitToHeight="0" pageOrder="overThenDown" horizontalDpi="0" verticalDpi="0" copies="0"/>
  <headerFooter>
    <oddHeader>&amp;C&amp;A</oddHeader>
    <oddFooter>&amp;CPage &amp;P</oddFooter>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1CB1F15-9051-4F05-BD26-535468B9A0F6}">
  <dimension ref="A1:XFD69"/>
  <sheetViews>
    <sheetView workbookViewId="0"/>
  </sheetViews>
  <sheetFormatPr defaultRowHeight="15.75" customHeight="1"/>
  <cols>
    <col min="1" max="1" width="20" style="3" customWidth="1"/>
    <col min="2" max="7" width="39.85546875" style="3" customWidth="1"/>
    <col min="8" max="8" width="149.85546875" style="3" customWidth="1"/>
    <col min="9" max="10" width="39.85546875" style="3" customWidth="1"/>
    <col min="11" max="17" width="20" style="3" customWidth="1"/>
    <col min="18" max="1024" width="13.42578125" style="3" customWidth="1"/>
  </cols>
  <sheetData>
    <row r="1" spans="1:11" ht="22.5" customHeight="1">
      <c r="A1" s="2" t="s">
        <v>3</v>
      </c>
      <c r="B1" s="2" t="s">
        <v>4</v>
      </c>
      <c r="C1" s="2" t="s">
        <v>5</v>
      </c>
      <c r="D1" s="2" t="s">
        <v>6</v>
      </c>
      <c r="E1" s="2" t="s">
        <v>7</v>
      </c>
      <c r="F1" s="2" t="s">
        <v>8</v>
      </c>
      <c r="G1" s="2" t="s">
        <v>9</v>
      </c>
      <c r="H1" s="2" t="s">
        <v>10</v>
      </c>
      <c r="I1" s="2" t="s">
        <v>11</v>
      </c>
      <c r="J1" s="2" t="s">
        <v>12</v>
      </c>
      <c r="K1" s="2" t="s">
        <v>13</v>
      </c>
    </row>
    <row r="2" spans="1:11" ht="22.5" customHeight="1">
      <c r="A2" s="4">
        <v>46044.752924120374</v>
      </c>
      <c r="B2" s="5" t="s">
        <v>14</v>
      </c>
      <c r="C2" s="5">
        <v>5</v>
      </c>
      <c r="D2" s="5" t="s">
        <v>15</v>
      </c>
      <c r="E2" s="5" t="s">
        <v>16</v>
      </c>
      <c r="F2" s="5" t="s">
        <v>17</v>
      </c>
      <c r="G2" s="5" t="s">
        <v>18</v>
      </c>
      <c r="H2" s="5" t="s">
        <v>19</v>
      </c>
      <c r="I2" s="5"/>
      <c r="J2" s="5"/>
      <c r="K2" s="5" t="s">
        <v>20</v>
      </c>
    </row>
    <row r="3" spans="1:11" ht="22.5" customHeight="1">
      <c r="A3" s="4">
        <v>46045.562119571761</v>
      </c>
      <c r="B3" s="5" t="s">
        <v>14</v>
      </c>
      <c r="C3" s="5">
        <v>5</v>
      </c>
      <c r="D3" s="5" t="s">
        <v>21</v>
      </c>
      <c r="E3" s="5" t="s">
        <v>22</v>
      </c>
      <c r="F3" s="5" t="s">
        <v>23</v>
      </c>
      <c r="G3" s="5" t="s">
        <v>24</v>
      </c>
      <c r="H3" s="5" t="s">
        <v>25</v>
      </c>
      <c r="I3" s="5" t="s">
        <v>26</v>
      </c>
      <c r="J3" s="5"/>
      <c r="K3" s="5" t="s">
        <v>20</v>
      </c>
    </row>
    <row r="4" spans="1:11" ht="22.5" customHeight="1">
      <c r="A4" s="4">
        <v>46048.547522986111</v>
      </c>
      <c r="B4" s="5" t="s">
        <v>27</v>
      </c>
      <c r="C4" s="5">
        <v>5</v>
      </c>
      <c r="D4" s="5" t="s">
        <v>28</v>
      </c>
      <c r="E4" s="5" t="s">
        <v>29</v>
      </c>
      <c r="F4" s="5" t="s">
        <v>30</v>
      </c>
      <c r="G4" s="5" t="s">
        <v>31</v>
      </c>
      <c r="H4" s="5" t="s">
        <v>32</v>
      </c>
      <c r="I4" s="5" t="s">
        <v>33</v>
      </c>
      <c r="K4" s="5" t="s">
        <v>34</v>
      </c>
    </row>
    <row r="5" spans="1:11" ht="22.5" customHeight="1">
      <c r="A5" s="4">
        <v>46051.947572488425</v>
      </c>
      <c r="B5" s="5" t="s">
        <v>35</v>
      </c>
      <c r="C5" s="5">
        <v>5</v>
      </c>
      <c r="D5" s="5" t="s">
        <v>36</v>
      </c>
      <c r="E5" s="5" t="s">
        <v>37</v>
      </c>
      <c r="F5" s="5" t="s">
        <v>38</v>
      </c>
      <c r="G5" s="5" t="s">
        <v>31</v>
      </c>
      <c r="H5" s="5" t="s">
        <v>39</v>
      </c>
      <c r="I5" s="5" t="s">
        <v>40</v>
      </c>
      <c r="J5" s="5" t="s">
        <v>41</v>
      </c>
      <c r="K5" s="5" t="s">
        <v>42</v>
      </c>
    </row>
    <row r="6" spans="1:11" ht="22.5" customHeight="1">
      <c r="A6" s="4">
        <v>46051.976374328704</v>
      </c>
      <c r="B6" s="5" t="s">
        <v>35</v>
      </c>
      <c r="C6" s="5">
        <v>5</v>
      </c>
      <c r="D6" s="5" t="s">
        <v>43</v>
      </c>
      <c r="E6" s="5" t="s">
        <v>44</v>
      </c>
      <c r="F6" s="5" t="s">
        <v>45</v>
      </c>
      <c r="G6" s="5" t="s">
        <v>46</v>
      </c>
      <c r="H6" s="5" t="s">
        <v>47</v>
      </c>
      <c r="K6" s="5" t="s">
        <v>42</v>
      </c>
    </row>
    <row r="7" spans="1:11" ht="22.5" customHeight="1">
      <c r="A7" s="4">
        <v>46052.528732210645</v>
      </c>
      <c r="B7" s="5" t="s">
        <v>27</v>
      </c>
      <c r="C7" s="5">
        <v>5</v>
      </c>
      <c r="D7" s="5" t="s">
        <v>48</v>
      </c>
      <c r="E7" s="5" t="s">
        <v>49</v>
      </c>
      <c r="F7" s="5" t="s">
        <v>50</v>
      </c>
      <c r="G7" s="5" t="s">
        <v>51</v>
      </c>
      <c r="H7" s="5" t="s">
        <v>52</v>
      </c>
      <c r="K7" s="5" t="s">
        <v>34</v>
      </c>
    </row>
    <row r="8" spans="1:11" ht="22.5" customHeight="1">
      <c r="A8" s="4">
        <v>46052.808521979168</v>
      </c>
      <c r="B8" s="5" t="s">
        <v>35</v>
      </c>
      <c r="C8" s="5">
        <v>5</v>
      </c>
      <c r="D8" s="5" t="s">
        <v>53</v>
      </c>
      <c r="E8" s="5" t="s">
        <v>54</v>
      </c>
      <c r="F8" s="5" t="s">
        <v>55</v>
      </c>
      <c r="G8" s="5" t="s">
        <v>56</v>
      </c>
      <c r="H8" s="5" t="s">
        <v>57</v>
      </c>
      <c r="K8" s="5" t="s">
        <v>58</v>
      </c>
    </row>
    <row r="9" spans="1:11" ht="22.5" customHeight="1">
      <c r="A9" s="4">
        <v>46061.695272581019</v>
      </c>
      <c r="B9" s="5" t="s">
        <v>35</v>
      </c>
      <c r="C9" s="5">
        <v>5</v>
      </c>
      <c r="D9" s="5" t="s">
        <v>59</v>
      </c>
      <c r="E9" s="5" t="s">
        <v>60</v>
      </c>
      <c r="F9" s="5" t="s">
        <v>61</v>
      </c>
      <c r="G9" s="5" t="s">
        <v>62</v>
      </c>
      <c r="H9" s="5" t="s">
        <v>63</v>
      </c>
      <c r="J9" s="5" t="s">
        <v>64</v>
      </c>
      <c r="K9" s="5" t="s">
        <v>42</v>
      </c>
    </row>
    <row r="10" spans="1:11" ht="22.5" customHeight="1">
      <c r="A10" s="4">
        <v>46063.704752881946</v>
      </c>
      <c r="B10" s="5" t="s">
        <v>35</v>
      </c>
      <c r="C10" s="5">
        <v>4</v>
      </c>
      <c r="D10" s="5" t="s">
        <v>65</v>
      </c>
      <c r="E10" s="5" t="s">
        <v>66</v>
      </c>
      <c r="F10" s="5" t="s">
        <v>67</v>
      </c>
      <c r="G10" s="5" t="s">
        <v>56</v>
      </c>
      <c r="K10" s="5" t="s">
        <v>34</v>
      </c>
    </row>
    <row r="11" spans="1:11" ht="22.5" customHeight="1">
      <c r="A11" s="4">
        <v>46063.705387939815</v>
      </c>
      <c r="B11" s="5" t="s">
        <v>27</v>
      </c>
      <c r="C11" s="5">
        <v>5</v>
      </c>
      <c r="D11" s="5" t="s">
        <v>68</v>
      </c>
      <c r="E11" s="5" t="s">
        <v>69</v>
      </c>
      <c r="F11" s="5" t="s">
        <v>23</v>
      </c>
      <c r="G11" s="5" t="s">
        <v>70</v>
      </c>
      <c r="H11" s="5" t="s">
        <v>71</v>
      </c>
      <c r="K11" s="5" t="s">
        <v>34</v>
      </c>
    </row>
    <row r="12" spans="1:11" ht="22.5" customHeight="1">
      <c r="A12" s="4">
        <v>46063.721197893516</v>
      </c>
      <c r="B12" s="5" t="s">
        <v>27</v>
      </c>
      <c r="C12" s="5">
        <v>5</v>
      </c>
      <c r="D12" s="5" t="s">
        <v>28</v>
      </c>
      <c r="E12" s="5" t="s">
        <v>72</v>
      </c>
      <c r="F12" s="5" t="s">
        <v>73</v>
      </c>
      <c r="G12" s="5" t="s">
        <v>74</v>
      </c>
      <c r="K12" s="5" t="s">
        <v>58</v>
      </c>
    </row>
    <row r="13" spans="1:11" ht="22.5" customHeight="1">
      <c r="A13" s="4">
        <v>46064.250797256944</v>
      </c>
      <c r="B13" s="5" t="s">
        <v>27</v>
      </c>
      <c r="C13" s="5">
        <v>1</v>
      </c>
      <c r="D13" s="5" t="s">
        <v>75</v>
      </c>
      <c r="E13" s="5" t="s">
        <v>76</v>
      </c>
      <c r="F13" s="5" t="s">
        <v>17</v>
      </c>
      <c r="G13" s="5" t="s">
        <v>77</v>
      </c>
      <c r="K13" s="5" t="s">
        <v>34</v>
      </c>
    </row>
    <row r="14" spans="1:11" ht="22.5" customHeight="1">
      <c r="A14" s="4">
        <v>46064.744165717595</v>
      </c>
      <c r="B14" s="5" t="s">
        <v>35</v>
      </c>
      <c r="C14" s="5">
        <v>5</v>
      </c>
      <c r="D14" s="5" t="s">
        <v>78</v>
      </c>
      <c r="E14" s="5" t="s">
        <v>79</v>
      </c>
      <c r="F14" s="5" t="s">
        <v>67</v>
      </c>
      <c r="G14" s="5" t="s">
        <v>56</v>
      </c>
      <c r="K14" s="5" t="s">
        <v>20</v>
      </c>
    </row>
    <row r="15" spans="1:11" ht="22.5" customHeight="1">
      <c r="A15" s="4">
        <v>46064.962995752314</v>
      </c>
      <c r="B15" s="5" t="s">
        <v>27</v>
      </c>
      <c r="C15" s="5">
        <v>4</v>
      </c>
      <c r="D15" s="5" t="s">
        <v>80</v>
      </c>
      <c r="E15" s="5" t="s">
        <v>81</v>
      </c>
      <c r="F15" s="5" t="s">
        <v>82</v>
      </c>
      <c r="G15" s="5" t="s">
        <v>56</v>
      </c>
      <c r="H15" s="5" t="s">
        <v>83</v>
      </c>
      <c r="K15" s="5" t="s">
        <v>20</v>
      </c>
    </row>
    <row r="16" spans="1:11" ht="22.5" customHeight="1">
      <c r="A16" s="4">
        <v>46065.285969201388</v>
      </c>
      <c r="B16" s="5" t="s">
        <v>27</v>
      </c>
      <c r="C16" s="5">
        <v>4</v>
      </c>
      <c r="D16" s="5" t="s">
        <v>59</v>
      </c>
      <c r="E16" s="5" t="s">
        <v>84</v>
      </c>
      <c r="F16" s="5" t="s">
        <v>73</v>
      </c>
      <c r="G16" s="5" t="s">
        <v>74</v>
      </c>
      <c r="H16" s="5" t="s">
        <v>85</v>
      </c>
      <c r="I16" s="5" t="s">
        <v>86</v>
      </c>
      <c r="J16" s="5" t="s">
        <v>87</v>
      </c>
      <c r="K16" s="5" t="s">
        <v>34</v>
      </c>
    </row>
    <row r="17" spans="1:11" ht="22.5" customHeight="1">
      <c r="A17" s="4">
        <v>46065.478139780091</v>
      </c>
      <c r="B17" s="5" t="s">
        <v>35</v>
      </c>
      <c r="C17" s="5">
        <v>5</v>
      </c>
      <c r="D17" s="5" t="s">
        <v>88</v>
      </c>
      <c r="E17" s="5" t="s">
        <v>89</v>
      </c>
      <c r="F17" s="5" t="s">
        <v>90</v>
      </c>
      <c r="G17" s="5" t="s">
        <v>24</v>
      </c>
      <c r="K17" s="5" t="s">
        <v>58</v>
      </c>
    </row>
    <row r="18" spans="1:11" ht="22.5" customHeight="1">
      <c r="A18" s="4">
        <v>46065.507280474536</v>
      </c>
      <c r="B18" s="5" t="s">
        <v>27</v>
      </c>
      <c r="C18" s="5">
        <v>5</v>
      </c>
      <c r="D18" s="5" t="s">
        <v>91</v>
      </c>
      <c r="E18" s="5" t="s">
        <v>92</v>
      </c>
      <c r="F18" s="5" t="s">
        <v>93</v>
      </c>
      <c r="G18" s="5" t="s">
        <v>94</v>
      </c>
      <c r="H18" s="5" t="s">
        <v>95</v>
      </c>
      <c r="K18" s="5" t="s">
        <v>96</v>
      </c>
    </row>
    <row r="19" spans="1:11" ht="22.5" customHeight="1">
      <c r="A19" s="4">
        <v>46065.509535185185</v>
      </c>
      <c r="B19" s="5" t="s">
        <v>27</v>
      </c>
      <c r="C19" s="5">
        <v>5</v>
      </c>
      <c r="D19" s="5" t="s">
        <v>97</v>
      </c>
      <c r="E19" s="5" t="s">
        <v>98</v>
      </c>
      <c r="F19" s="5" t="s">
        <v>99</v>
      </c>
      <c r="G19" s="5" t="s">
        <v>74</v>
      </c>
      <c r="H19" s="5" t="s">
        <v>100</v>
      </c>
      <c r="I19" s="5" t="s">
        <v>101</v>
      </c>
      <c r="K19" s="5" t="s">
        <v>20</v>
      </c>
    </row>
    <row r="20" spans="1:11" ht="22.5" customHeight="1">
      <c r="A20" s="4">
        <v>46065.638990763888</v>
      </c>
      <c r="B20" s="5" t="s">
        <v>27</v>
      </c>
      <c r="C20" s="5">
        <v>5</v>
      </c>
      <c r="D20" s="5" t="s">
        <v>102</v>
      </c>
      <c r="E20" s="5" t="s">
        <v>103</v>
      </c>
      <c r="F20" s="5" t="s">
        <v>104</v>
      </c>
      <c r="G20" s="5" t="s">
        <v>105</v>
      </c>
      <c r="H20" s="5" t="s">
        <v>106</v>
      </c>
      <c r="J20" s="5" t="s">
        <v>107</v>
      </c>
      <c r="K20" s="5" t="s">
        <v>20</v>
      </c>
    </row>
    <row r="21" spans="1:11" ht="22.5" customHeight="1">
      <c r="A21" s="4">
        <v>46066.413958449077</v>
      </c>
      <c r="B21" s="5" t="s">
        <v>35</v>
      </c>
      <c r="C21" s="5">
        <v>3</v>
      </c>
      <c r="D21" s="5" t="s">
        <v>108</v>
      </c>
      <c r="E21" s="5" t="s">
        <v>109</v>
      </c>
      <c r="F21" s="5" t="s">
        <v>110</v>
      </c>
      <c r="G21" s="5" t="s">
        <v>111</v>
      </c>
      <c r="K21" s="5" t="s">
        <v>42</v>
      </c>
    </row>
    <row r="22" spans="1:11" ht="22.5" customHeight="1">
      <c r="A22" s="4">
        <v>46068.611953657404</v>
      </c>
      <c r="B22" s="5" t="s">
        <v>27</v>
      </c>
      <c r="C22" s="5">
        <v>5</v>
      </c>
      <c r="D22" s="5" t="s">
        <v>112</v>
      </c>
      <c r="E22" s="5" t="s">
        <v>113</v>
      </c>
      <c r="F22" s="5" t="s">
        <v>38</v>
      </c>
      <c r="G22" s="5" t="s">
        <v>114</v>
      </c>
      <c r="H22" s="5" t="s">
        <v>115</v>
      </c>
      <c r="K22" s="5" t="s">
        <v>34</v>
      </c>
    </row>
    <row r="23" spans="1:11" ht="22.5" customHeight="1">
      <c r="A23" s="4">
        <v>46072.571413877318</v>
      </c>
      <c r="B23" s="5" t="s">
        <v>27</v>
      </c>
      <c r="C23" s="5">
        <v>4</v>
      </c>
      <c r="D23" s="5" t="s">
        <v>88</v>
      </c>
      <c r="E23" s="5" t="s">
        <v>116</v>
      </c>
      <c r="F23" s="5" t="s">
        <v>67</v>
      </c>
      <c r="G23" s="5" t="s">
        <v>56</v>
      </c>
      <c r="H23" s="5" t="s">
        <v>117</v>
      </c>
      <c r="K23" s="5" t="s">
        <v>58</v>
      </c>
    </row>
    <row r="24" spans="1:11" ht="22.5" customHeight="1">
      <c r="A24" s="4">
        <v>46082.538905462963</v>
      </c>
      <c r="B24" s="5" t="s">
        <v>27</v>
      </c>
      <c r="C24" s="5">
        <v>3</v>
      </c>
      <c r="D24" s="5" t="s">
        <v>118</v>
      </c>
      <c r="E24" s="5" t="s">
        <v>119</v>
      </c>
      <c r="F24" s="5" t="s">
        <v>120</v>
      </c>
      <c r="G24" s="5" t="s">
        <v>121</v>
      </c>
      <c r="H24" s="5" t="s">
        <v>122</v>
      </c>
      <c r="K24" s="5" t="s">
        <v>58</v>
      </c>
    </row>
    <row r="25" spans="1:11" ht="22.5" customHeight="1">
      <c r="A25" s="4">
        <v>46082.550237974538</v>
      </c>
      <c r="B25" s="5" t="s">
        <v>35</v>
      </c>
      <c r="C25" s="5">
        <v>5</v>
      </c>
      <c r="D25" s="5" t="s">
        <v>123</v>
      </c>
      <c r="E25" s="5" t="s">
        <v>124</v>
      </c>
      <c r="F25" s="5" t="s">
        <v>125</v>
      </c>
      <c r="G25" s="5" t="s">
        <v>74</v>
      </c>
      <c r="H25" s="5" t="s">
        <v>126</v>
      </c>
      <c r="K25" s="5" t="s">
        <v>34</v>
      </c>
    </row>
    <row r="26" spans="1:11" ht="22.5" customHeight="1">
      <c r="A26" s="4">
        <v>46082.58865150463</v>
      </c>
      <c r="B26" s="5" t="s">
        <v>27</v>
      </c>
      <c r="C26" s="5">
        <v>4</v>
      </c>
      <c r="D26" s="5" t="s">
        <v>127</v>
      </c>
      <c r="E26" s="5" t="s">
        <v>128</v>
      </c>
      <c r="F26" s="5" t="s">
        <v>67</v>
      </c>
      <c r="G26" s="5" t="s">
        <v>77</v>
      </c>
      <c r="H26" s="5" t="s">
        <v>129</v>
      </c>
      <c r="I26" s="5" t="s">
        <v>130</v>
      </c>
      <c r="J26" s="5" t="s">
        <v>131</v>
      </c>
      <c r="K26" s="5" t="s">
        <v>34</v>
      </c>
    </row>
    <row r="27" spans="1:11" ht="22.5" customHeight="1">
      <c r="A27" s="4">
        <v>46082.593755624999</v>
      </c>
      <c r="B27" s="5" t="s">
        <v>35</v>
      </c>
      <c r="C27" s="5">
        <v>5</v>
      </c>
      <c r="D27" s="5" t="s">
        <v>132</v>
      </c>
      <c r="E27" s="5" t="s">
        <v>133</v>
      </c>
      <c r="F27" s="5" t="s">
        <v>134</v>
      </c>
      <c r="G27" s="5" t="s">
        <v>121</v>
      </c>
      <c r="K27" s="5" t="s">
        <v>34</v>
      </c>
    </row>
    <row r="28" spans="1:11" ht="22.5" customHeight="1">
      <c r="A28" s="4">
        <v>46082.609730138887</v>
      </c>
      <c r="B28" s="5" t="s">
        <v>27</v>
      </c>
      <c r="C28" s="5">
        <v>3</v>
      </c>
      <c r="D28" s="5" t="s">
        <v>48</v>
      </c>
      <c r="E28" s="5" t="s">
        <v>135</v>
      </c>
      <c r="F28" s="5" t="s">
        <v>136</v>
      </c>
      <c r="G28" s="5" t="s">
        <v>74</v>
      </c>
      <c r="H28" s="5" t="s">
        <v>137</v>
      </c>
      <c r="I28" s="5" t="s">
        <v>138</v>
      </c>
      <c r="K28" s="5" t="s">
        <v>58</v>
      </c>
    </row>
    <row r="29" spans="1:11" ht="22.5" customHeight="1">
      <c r="A29" s="4">
        <v>46082.85275528935</v>
      </c>
      <c r="B29" s="5" t="s">
        <v>35</v>
      </c>
      <c r="C29" s="5">
        <v>5</v>
      </c>
      <c r="D29" s="5" t="s">
        <v>139</v>
      </c>
      <c r="E29" s="5" t="s">
        <v>140</v>
      </c>
      <c r="F29" s="5" t="s">
        <v>141</v>
      </c>
      <c r="G29" s="5" t="s">
        <v>121</v>
      </c>
      <c r="H29" s="5" t="s">
        <v>142</v>
      </c>
      <c r="I29" s="5" t="s">
        <v>143</v>
      </c>
      <c r="K29" s="5" t="s">
        <v>42</v>
      </c>
    </row>
    <row r="30" spans="1:11" ht="22.5" customHeight="1">
      <c r="A30" s="4">
        <v>46082.862947372683</v>
      </c>
      <c r="B30" s="5" t="s">
        <v>35</v>
      </c>
      <c r="C30" s="5">
        <v>5</v>
      </c>
      <c r="D30" s="5" t="s">
        <v>144</v>
      </c>
      <c r="E30" s="5" t="s">
        <v>145</v>
      </c>
      <c r="F30" s="5" t="s">
        <v>38</v>
      </c>
      <c r="G30" s="5" t="s">
        <v>146</v>
      </c>
      <c r="K30" s="5" t="s">
        <v>34</v>
      </c>
    </row>
    <row r="31" spans="1:11" ht="22.5" customHeight="1">
      <c r="A31" s="4">
        <v>46084.358860509259</v>
      </c>
      <c r="B31" s="5" t="s">
        <v>35</v>
      </c>
      <c r="C31" s="5">
        <v>4</v>
      </c>
      <c r="D31" s="5" t="s">
        <v>147</v>
      </c>
      <c r="E31" s="5" t="s">
        <v>148</v>
      </c>
      <c r="F31" s="5" t="s">
        <v>149</v>
      </c>
      <c r="G31" s="5" t="s">
        <v>150</v>
      </c>
      <c r="H31" s="5" t="s">
        <v>151</v>
      </c>
      <c r="J31" s="5" t="s">
        <v>152</v>
      </c>
      <c r="K31" s="5" t="s">
        <v>34</v>
      </c>
    </row>
    <row r="32" spans="1:11" ht="22.5" customHeight="1">
      <c r="A32" s="4">
        <v>46149.786529988429</v>
      </c>
      <c r="B32" s="5" t="s">
        <v>35</v>
      </c>
      <c r="C32" s="5">
        <v>5</v>
      </c>
      <c r="D32" s="5" t="s">
        <v>28</v>
      </c>
      <c r="E32" s="5" t="s">
        <v>153</v>
      </c>
      <c r="F32" s="5" t="s">
        <v>154</v>
      </c>
      <c r="G32" s="5" t="s">
        <v>155</v>
      </c>
      <c r="K32" s="5" t="s">
        <v>34</v>
      </c>
    </row>
    <row r="33" spans="1:11" ht="22.5" customHeight="1">
      <c r="A33" s="4">
        <v>46149.787235798613</v>
      </c>
      <c r="B33" s="5" t="s">
        <v>35</v>
      </c>
      <c r="C33" s="5">
        <v>4</v>
      </c>
      <c r="D33" s="5" t="s">
        <v>156</v>
      </c>
      <c r="E33" s="5" t="s">
        <v>157</v>
      </c>
      <c r="F33" s="5" t="s">
        <v>158</v>
      </c>
      <c r="G33" s="5" t="s">
        <v>24</v>
      </c>
      <c r="K33" s="5" t="s">
        <v>42</v>
      </c>
    </row>
    <row r="34" spans="1:11" ht="22.5" customHeight="1">
      <c r="A34" s="4">
        <v>46149.788812557868</v>
      </c>
      <c r="B34" s="5" t="s">
        <v>27</v>
      </c>
      <c r="C34" s="5">
        <v>5</v>
      </c>
      <c r="D34" s="5" t="s">
        <v>159</v>
      </c>
      <c r="E34" s="5" t="s">
        <v>160</v>
      </c>
      <c r="F34" s="5" t="s">
        <v>161</v>
      </c>
      <c r="G34" s="5" t="s">
        <v>77</v>
      </c>
      <c r="H34" s="5" t="s">
        <v>162</v>
      </c>
      <c r="K34" s="5" t="s">
        <v>58</v>
      </c>
    </row>
    <row r="35" spans="1:11" ht="22.5" customHeight="1">
      <c r="A35" s="4">
        <v>46149.851671932869</v>
      </c>
      <c r="B35" s="5" t="s">
        <v>35</v>
      </c>
      <c r="C35" s="5">
        <v>4</v>
      </c>
      <c r="D35" s="5" t="s">
        <v>163</v>
      </c>
      <c r="E35" s="5" t="s">
        <v>164</v>
      </c>
      <c r="F35" s="5" t="s">
        <v>165</v>
      </c>
      <c r="G35" s="5" t="s">
        <v>56</v>
      </c>
      <c r="H35" s="5" t="s">
        <v>166</v>
      </c>
      <c r="K35" s="5" t="s">
        <v>42</v>
      </c>
    </row>
    <row r="36" spans="1:11" ht="22.5" customHeight="1">
      <c r="A36" s="4">
        <v>46149.862183611112</v>
      </c>
      <c r="B36" s="5" t="s">
        <v>35</v>
      </c>
      <c r="C36" s="5">
        <v>5</v>
      </c>
      <c r="D36" s="5" t="s">
        <v>167</v>
      </c>
      <c r="E36" s="5" t="s">
        <v>168</v>
      </c>
      <c r="F36" s="5" t="s">
        <v>169</v>
      </c>
      <c r="G36" s="5" t="s">
        <v>170</v>
      </c>
      <c r="H36" s="5" t="s">
        <v>171</v>
      </c>
      <c r="K36" s="5" t="s">
        <v>34</v>
      </c>
    </row>
    <row r="37" spans="1:11" ht="22.5" customHeight="1">
      <c r="A37" s="4">
        <v>46149.905223113426</v>
      </c>
      <c r="B37" s="5" t="s">
        <v>35</v>
      </c>
      <c r="C37" s="5">
        <v>4</v>
      </c>
      <c r="D37" s="5" t="s">
        <v>172</v>
      </c>
      <c r="E37" s="5" t="s">
        <v>173</v>
      </c>
      <c r="F37" s="5" t="s">
        <v>67</v>
      </c>
      <c r="G37" s="5" t="s">
        <v>77</v>
      </c>
      <c r="K37" s="5" t="s">
        <v>34</v>
      </c>
    </row>
    <row r="38" spans="1:11" ht="22.5" customHeight="1">
      <c r="A38" s="4">
        <v>46149.912924201388</v>
      </c>
      <c r="B38" s="5" t="s">
        <v>35</v>
      </c>
      <c r="C38" s="5">
        <v>4</v>
      </c>
      <c r="D38" s="5" t="s">
        <v>174</v>
      </c>
      <c r="E38" s="5" t="s">
        <v>175</v>
      </c>
      <c r="F38" s="5" t="s">
        <v>23</v>
      </c>
      <c r="G38" s="5" t="s">
        <v>77</v>
      </c>
      <c r="K38" s="5" t="s">
        <v>34</v>
      </c>
    </row>
    <row r="39" spans="1:11" ht="22.5" customHeight="1">
      <c r="A39" s="4">
        <v>46149.913113344905</v>
      </c>
      <c r="B39" s="5" t="s">
        <v>35</v>
      </c>
      <c r="C39" s="5">
        <v>4</v>
      </c>
      <c r="D39" s="5" t="s">
        <v>176</v>
      </c>
      <c r="E39" s="5" t="s">
        <v>177</v>
      </c>
      <c r="F39" s="5" t="s">
        <v>178</v>
      </c>
      <c r="G39" s="5" t="s">
        <v>24</v>
      </c>
      <c r="H39" s="5" t="s">
        <v>179</v>
      </c>
      <c r="J39" s="5" t="s">
        <v>180</v>
      </c>
      <c r="K39" s="5" t="s">
        <v>34</v>
      </c>
    </row>
    <row r="40" spans="1:11" ht="22.5" customHeight="1">
      <c r="A40" s="4">
        <v>46150.734527592591</v>
      </c>
      <c r="B40" s="5" t="s">
        <v>35</v>
      </c>
      <c r="C40" s="5">
        <v>5</v>
      </c>
      <c r="D40" s="5" t="s">
        <v>181</v>
      </c>
      <c r="E40" s="5" t="s">
        <v>182</v>
      </c>
      <c r="F40" s="5" t="s">
        <v>23</v>
      </c>
      <c r="G40" s="5" t="s">
        <v>183</v>
      </c>
      <c r="H40" s="5" t="s">
        <v>184</v>
      </c>
      <c r="I40" s="5" t="s">
        <v>184</v>
      </c>
      <c r="J40" s="5" t="s">
        <v>184</v>
      </c>
      <c r="K40" s="5" t="s">
        <v>34</v>
      </c>
    </row>
    <row r="41" spans="1:11" ht="22.5" customHeight="1">
      <c r="A41" s="4">
        <v>46150.891564953701</v>
      </c>
      <c r="B41" s="5" t="s">
        <v>27</v>
      </c>
      <c r="C41" s="5">
        <v>3</v>
      </c>
      <c r="D41" s="5" t="s">
        <v>185</v>
      </c>
      <c r="E41" s="5" t="s">
        <v>186</v>
      </c>
      <c r="F41" s="5" t="s">
        <v>99</v>
      </c>
      <c r="G41" s="5" t="s">
        <v>24</v>
      </c>
      <c r="K41" s="5" t="s">
        <v>34</v>
      </c>
    </row>
    <row r="42" spans="1:11" ht="22.5" customHeight="1">
      <c r="A42" s="4">
        <v>46151.334785520834</v>
      </c>
      <c r="B42" s="5" t="s">
        <v>27</v>
      </c>
      <c r="C42" s="5">
        <v>5</v>
      </c>
      <c r="D42" s="5" t="s">
        <v>187</v>
      </c>
      <c r="E42" s="5" t="s">
        <v>188</v>
      </c>
      <c r="F42" s="5" t="s">
        <v>23</v>
      </c>
      <c r="G42" s="5" t="s">
        <v>189</v>
      </c>
      <c r="H42" s="5" t="s">
        <v>190</v>
      </c>
      <c r="K42" s="5" t="s">
        <v>34</v>
      </c>
    </row>
    <row r="43" spans="1:11" ht="22.5" customHeight="1">
      <c r="A43" s="4">
        <v>46151.342144328701</v>
      </c>
      <c r="B43" s="5" t="s">
        <v>35</v>
      </c>
      <c r="C43" s="5">
        <v>4</v>
      </c>
      <c r="D43" s="5" t="s">
        <v>191</v>
      </c>
      <c r="E43" s="5" t="s">
        <v>192</v>
      </c>
      <c r="F43" s="5" t="s">
        <v>67</v>
      </c>
      <c r="G43" s="5" t="s">
        <v>56</v>
      </c>
      <c r="K43" s="5" t="s">
        <v>42</v>
      </c>
    </row>
    <row r="44" spans="1:11" ht="22.5" customHeight="1">
      <c r="A44" s="4">
        <v>46151.354892858799</v>
      </c>
      <c r="B44" s="5" t="s">
        <v>27</v>
      </c>
      <c r="C44" s="5">
        <v>5</v>
      </c>
      <c r="D44" s="5" t="s">
        <v>28</v>
      </c>
      <c r="E44" s="5" t="s">
        <v>193</v>
      </c>
      <c r="F44" s="5" t="s">
        <v>38</v>
      </c>
      <c r="G44" s="5" t="s">
        <v>77</v>
      </c>
      <c r="H44" s="5" t="s">
        <v>194</v>
      </c>
      <c r="I44" s="5" t="s">
        <v>195</v>
      </c>
      <c r="K44" s="5" t="s">
        <v>58</v>
      </c>
    </row>
    <row r="45" spans="1:11" ht="22.5" customHeight="1">
      <c r="A45" s="4">
        <v>46151.369821006941</v>
      </c>
      <c r="B45" s="5" t="s">
        <v>35</v>
      </c>
      <c r="C45" s="5">
        <v>3</v>
      </c>
      <c r="D45" s="5" t="s">
        <v>196</v>
      </c>
      <c r="E45" s="5" t="s">
        <v>197</v>
      </c>
      <c r="F45" s="5" t="s">
        <v>165</v>
      </c>
      <c r="G45" s="5" t="s">
        <v>24</v>
      </c>
      <c r="K45" s="5" t="s">
        <v>34</v>
      </c>
    </row>
    <row r="46" spans="1:11" ht="22.5" customHeight="1">
      <c r="A46" s="4">
        <v>46151.388543136571</v>
      </c>
      <c r="B46" s="5" t="s">
        <v>35</v>
      </c>
      <c r="C46" s="5">
        <v>4</v>
      </c>
      <c r="D46" s="5" t="s">
        <v>28</v>
      </c>
      <c r="E46" s="5" t="s">
        <v>198</v>
      </c>
      <c r="F46" s="5" t="s">
        <v>199</v>
      </c>
      <c r="G46" s="5" t="s">
        <v>200</v>
      </c>
      <c r="H46" s="5" t="s">
        <v>201</v>
      </c>
      <c r="I46" s="5" t="s">
        <v>202</v>
      </c>
      <c r="K46" s="5" t="s">
        <v>20</v>
      </c>
    </row>
    <row r="47" spans="1:11" ht="22.5" customHeight="1">
      <c r="A47" s="4">
        <v>46151.393185486108</v>
      </c>
      <c r="B47" s="5" t="s">
        <v>27</v>
      </c>
      <c r="C47" s="5">
        <v>2</v>
      </c>
      <c r="D47" s="5" t="s">
        <v>203</v>
      </c>
      <c r="E47" s="5" t="s">
        <v>204</v>
      </c>
      <c r="F47" s="5" t="s">
        <v>23</v>
      </c>
      <c r="G47" s="5" t="s">
        <v>77</v>
      </c>
      <c r="K47" s="5" t="s">
        <v>58</v>
      </c>
    </row>
    <row r="48" spans="1:11" ht="22.5" customHeight="1">
      <c r="A48" s="4">
        <v>46151.395879398151</v>
      </c>
      <c r="B48" s="5" t="s">
        <v>27</v>
      </c>
      <c r="C48" s="5">
        <v>5</v>
      </c>
      <c r="D48" s="5" t="s">
        <v>28</v>
      </c>
      <c r="E48" s="5" t="s">
        <v>205</v>
      </c>
      <c r="F48" s="5" t="s">
        <v>206</v>
      </c>
      <c r="G48" s="5" t="s">
        <v>183</v>
      </c>
      <c r="H48" s="5" t="s">
        <v>207</v>
      </c>
      <c r="K48" s="5" t="s">
        <v>42</v>
      </c>
    </row>
    <row r="49" spans="1:11" ht="22.5" customHeight="1">
      <c r="A49" s="4">
        <v>46151.486542777777</v>
      </c>
      <c r="B49" s="5" t="s">
        <v>27</v>
      </c>
      <c r="C49" s="5">
        <v>4</v>
      </c>
      <c r="D49" s="5" t="s">
        <v>208</v>
      </c>
      <c r="E49" s="5" t="s">
        <v>209</v>
      </c>
      <c r="F49" s="5" t="s">
        <v>210</v>
      </c>
      <c r="G49" s="5" t="s">
        <v>211</v>
      </c>
      <c r="H49" s="5" t="s">
        <v>212</v>
      </c>
      <c r="K49" s="5" t="s">
        <v>96</v>
      </c>
    </row>
    <row r="50" spans="1:11" ht="22.5" customHeight="1">
      <c r="A50" s="4">
        <v>46154.465185613422</v>
      </c>
      <c r="B50" s="5" t="s">
        <v>27</v>
      </c>
      <c r="C50" s="5">
        <v>5</v>
      </c>
      <c r="D50" s="5" t="s">
        <v>88</v>
      </c>
      <c r="E50" s="5" t="s">
        <v>213</v>
      </c>
      <c r="F50" s="5" t="s">
        <v>93</v>
      </c>
      <c r="G50" s="5" t="s">
        <v>74</v>
      </c>
      <c r="K50" s="5" t="s">
        <v>34</v>
      </c>
    </row>
    <row r="51" spans="1:11" ht="22.5" customHeight="1">
      <c r="A51" s="4">
        <v>46158.880100891205</v>
      </c>
      <c r="B51" s="5" t="s">
        <v>27</v>
      </c>
      <c r="C51" s="5">
        <v>4</v>
      </c>
      <c r="D51" s="5" t="s">
        <v>214</v>
      </c>
      <c r="E51" s="5" t="s">
        <v>215</v>
      </c>
      <c r="F51" s="5" t="s">
        <v>93</v>
      </c>
      <c r="G51" s="5" t="s">
        <v>216</v>
      </c>
      <c r="H51" s="5" t="s">
        <v>217</v>
      </c>
      <c r="K51" s="5" t="s">
        <v>58</v>
      </c>
    </row>
    <row r="52" spans="1:11" ht="22.5" customHeight="1">
      <c r="A52" s="4">
        <v>46159.368837233793</v>
      </c>
      <c r="B52" s="5" t="s">
        <v>35</v>
      </c>
      <c r="C52" s="5">
        <v>5</v>
      </c>
      <c r="D52" s="5" t="s">
        <v>28</v>
      </c>
      <c r="E52" s="5" t="s">
        <v>218</v>
      </c>
      <c r="F52" s="5" t="s">
        <v>178</v>
      </c>
      <c r="G52" s="5" t="s">
        <v>24</v>
      </c>
      <c r="K52" s="5" t="s">
        <v>20</v>
      </c>
    </row>
    <row r="53" spans="1:11" ht="22.5" customHeight="1">
      <c r="A53" s="4">
        <v>46159.797001828701</v>
      </c>
      <c r="B53" s="5" t="s">
        <v>27</v>
      </c>
      <c r="C53" s="5">
        <v>5</v>
      </c>
      <c r="D53" s="5" t="s">
        <v>219</v>
      </c>
      <c r="E53" s="5" t="s">
        <v>220</v>
      </c>
      <c r="F53" s="5" t="s">
        <v>221</v>
      </c>
      <c r="G53" s="5" t="s">
        <v>222</v>
      </c>
      <c r="H53" s="5" t="s">
        <v>223</v>
      </c>
      <c r="I53" s="5" t="s">
        <v>224</v>
      </c>
      <c r="J53" s="5" t="s">
        <v>225</v>
      </c>
      <c r="K53" s="5" t="s">
        <v>58</v>
      </c>
    </row>
    <row r="54" spans="1:11" ht="22.5" customHeight="1">
      <c r="A54" s="4">
        <v>46181.622076319443</v>
      </c>
      <c r="B54" s="5" t="s">
        <v>35</v>
      </c>
      <c r="C54" s="5">
        <v>5</v>
      </c>
      <c r="D54" s="5" t="s">
        <v>78</v>
      </c>
      <c r="E54" s="5" t="s">
        <v>226</v>
      </c>
      <c r="F54" s="5" t="s">
        <v>38</v>
      </c>
      <c r="G54" s="5" t="s">
        <v>200</v>
      </c>
      <c r="K54" s="5" t="s">
        <v>227</v>
      </c>
    </row>
    <row r="55" spans="1:11" ht="22.5" customHeight="1">
      <c r="A55" s="4">
        <v>46181.663480763891</v>
      </c>
      <c r="B55" s="5" t="s">
        <v>27</v>
      </c>
      <c r="C55" s="5">
        <v>4</v>
      </c>
      <c r="D55" s="5" t="s">
        <v>228</v>
      </c>
      <c r="E55" s="5" t="s">
        <v>229</v>
      </c>
      <c r="F55" s="5" t="s">
        <v>73</v>
      </c>
      <c r="G55" s="5" t="s">
        <v>56</v>
      </c>
      <c r="H55" s="5" t="s">
        <v>230</v>
      </c>
      <c r="K55" s="5" t="s">
        <v>20</v>
      </c>
    </row>
    <row r="56" spans="1:11" ht="22.5" customHeight="1">
      <c r="A56" s="4">
        <v>46181.703246944446</v>
      </c>
      <c r="B56" s="5" t="s">
        <v>35</v>
      </c>
      <c r="C56" s="5">
        <v>3</v>
      </c>
      <c r="D56" s="5" t="s">
        <v>231</v>
      </c>
      <c r="E56" s="5" t="s">
        <v>232</v>
      </c>
      <c r="F56" s="5" t="s">
        <v>233</v>
      </c>
      <c r="G56" s="5" t="s">
        <v>155</v>
      </c>
      <c r="H56" s="5" t="s">
        <v>234</v>
      </c>
      <c r="K56" s="5" t="s">
        <v>58</v>
      </c>
    </row>
    <row r="57" spans="1:11" ht="22.5" customHeight="1">
      <c r="A57" s="4">
        <v>46181.709857905094</v>
      </c>
      <c r="B57" s="5" t="s">
        <v>35</v>
      </c>
      <c r="C57" s="5">
        <v>5</v>
      </c>
      <c r="D57" s="5" t="s">
        <v>235</v>
      </c>
      <c r="E57" s="5" t="s">
        <v>236</v>
      </c>
      <c r="F57" s="5" t="s">
        <v>136</v>
      </c>
      <c r="G57" s="5" t="s">
        <v>18</v>
      </c>
      <c r="H57" s="5" t="s">
        <v>237</v>
      </c>
      <c r="K57" s="5" t="s">
        <v>20</v>
      </c>
    </row>
    <row r="58" spans="1:11" ht="22.5" customHeight="1">
      <c r="A58" s="4">
        <v>46181.728532280089</v>
      </c>
      <c r="B58" s="5" t="s">
        <v>27</v>
      </c>
      <c r="C58" s="5">
        <v>4</v>
      </c>
      <c r="D58" s="5" t="s">
        <v>238</v>
      </c>
      <c r="E58" s="5" t="s">
        <v>239</v>
      </c>
      <c r="F58" s="5" t="s">
        <v>67</v>
      </c>
      <c r="G58" s="5" t="s">
        <v>155</v>
      </c>
      <c r="H58" s="5" t="s">
        <v>240</v>
      </c>
      <c r="K58" s="5" t="s">
        <v>34</v>
      </c>
    </row>
    <row r="59" spans="1:11" ht="22.5" customHeight="1">
      <c r="A59" s="4">
        <v>46181.736839131947</v>
      </c>
      <c r="B59" s="5" t="s">
        <v>27</v>
      </c>
      <c r="C59" s="5">
        <v>0</v>
      </c>
      <c r="D59" s="5" t="s">
        <v>241</v>
      </c>
      <c r="E59" s="5" t="s">
        <v>76</v>
      </c>
      <c r="F59" s="5" t="s">
        <v>38</v>
      </c>
      <c r="G59" s="5" t="s">
        <v>77</v>
      </c>
      <c r="K59" s="5" t="s">
        <v>20</v>
      </c>
    </row>
    <row r="60" spans="1:11" ht="22.5" customHeight="1">
      <c r="A60" s="4">
        <v>46181.86029290509</v>
      </c>
      <c r="B60" s="5" t="s">
        <v>27</v>
      </c>
      <c r="C60" s="5">
        <v>4</v>
      </c>
      <c r="D60" s="5" t="s">
        <v>242</v>
      </c>
      <c r="E60" s="5" t="s">
        <v>243</v>
      </c>
      <c r="F60" s="5" t="s">
        <v>99</v>
      </c>
      <c r="G60" s="5" t="s">
        <v>56</v>
      </c>
      <c r="K60" s="5" t="s">
        <v>42</v>
      </c>
    </row>
    <row r="61" spans="1:11" ht="22.5" customHeight="1">
      <c r="A61" s="4">
        <v>46181.965233194445</v>
      </c>
      <c r="B61" s="5" t="s">
        <v>35</v>
      </c>
      <c r="C61" s="5">
        <v>5</v>
      </c>
      <c r="D61" s="5" t="s">
        <v>244</v>
      </c>
      <c r="E61" s="5" t="s">
        <v>245</v>
      </c>
      <c r="F61" s="5" t="s">
        <v>246</v>
      </c>
      <c r="G61" s="5" t="s">
        <v>247</v>
      </c>
      <c r="H61" s="5" t="s">
        <v>248</v>
      </c>
      <c r="I61" s="5" t="s">
        <v>249</v>
      </c>
      <c r="J61" s="5" t="s">
        <v>250</v>
      </c>
      <c r="K61" s="5" t="s">
        <v>34</v>
      </c>
    </row>
    <row r="62" spans="1:11" ht="22.5" customHeight="1">
      <c r="A62" s="4">
        <v>46182.348562118059</v>
      </c>
      <c r="B62" s="5" t="s">
        <v>27</v>
      </c>
      <c r="C62" s="5">
        <v>5</v>
      </c>
      <c r="D62" s="5" t="s">
        <v>251</v>
      </c>
      <c r="E62" s="5" t="s">
        <v>252</v>
      </c>
      <c r="F62" s="5" t="s">
        <v>17</v>
      </c>
      <c r="G62" s="5" t="s">
        <v>253</v>
      </c>
      <c r="K62" s="5" t="s">
        <v>34</v>
      </c>
    </row>
    <row r="63" spans="1:11" ht="22.5" customHeight="1">
      <c r="A63" s="4">
        <v>46182.585075104165</v>
      </c>
      <c r="B63" s="5" t="s">
        <v>35</v>
      </c>
      <c r="C63" s="5">
        <v>5</v>
      </c>
      <c r="D63" s="5" t="s">
        <v>28</v>
      </c>
      <c r="E63" s="5" t="s">
        <v>254</v>
      </c>
      <c r="F63" s="5" t="s">
        <v>99</v>
      </c>
      <c r="G63" s="5" t="s">
        <v>24</v>
      </c>
      <c r="H63" s="5" t="s">
        <v>255</v>
      </c>
      <c r="I63" s="5" t="s">
        <v>256</v>
      </c>
      <c r="K63" s="5" t="s">
        <v>34</v>
      </c>
    </row>
    <row r="64" spans="1:11" ht="22.5" customHeight="1">
      <c r="A64" s="4">
        <v>46184.691209861114</v>
      </c>
      <c r="B64" s="5" t="s">
        <v>27</v>
      </c>
      <c r="C64" s="5">
        <v>5</v>
      </c>
      <c r="D64" s="5" t="s">
        <v>257</v>
      </c>
      <c r="E64" s="5" t="s">
        <v>258</v>
      </c>
      <c r="F64" s="5" t="s">
        <v>73</v>
      </c>
      <c r="G64" s="5" t="s">
        <v>200</v>
      </c>
      <c r="H64" s="5" t="s">
        <v>259</v>
      </c>
      <c r="K64" s="5" t="s">
        <v>58</v>
      </c>
    </row>
    <row r="65" spans="1:11" ht="22.5" customHeight="1">
      <c r="A65" s="4">
        <v>46185.783213923612</v>
      </c>
      <c r="B65" s="5" t="s">
        <v>35</v>
      </c>
      <c r="C65" s="5">
        <v>5</v>
      </c>
      <c r="D65" s="5" t="s">
        <v>28</v>
      </c>
      <c r="E65" s="5" t="s">
        <v>260</v>
      </c>
      <c r="F65" s="5" t="s">
        <v>17</v>
      </c>
      <c r="G65" s="5" t="s">
        <v>200</v>
      </c>
      <c r="H65" s="5" t="s">
        <v>261</v>
      </c>
      <c r="I65" s="5" t="s">
        <v>262</v>
      </c>
      <c r="K65" s="5" t="s">
        <v>20</v>
      </c>
    </row>
    <row r="66" spans="1:11" ht="22.5" customHeight="1">
      <c r="A66" s="4">
        <v>46185.788163379628</v>
      </c>
      <c r="B66" s="5" t="s">
        <v>27</v>
      </c>
      <c r="C66" s="5">
        <v>4</v>
      </c>
      <c r="D66" s="5" t="s">
        <v>263</v>
      </c>
      <c r="E66" s="5" t="s">
        <v>264</v>
      </c>
      <c r="F66" s="5" t="s">
        <v>38</v>
      </c>
      <c r="G66" s="5" t="s">
        <v>74</v>
      </c>
      <c r="H66" s="5" t="s">
        <v>265</v>
      </c>
      <c r="K66" s="5" t="s">
        <v>34</v>
      </c>
    </row>
    <row r="67" spans="1:11" ht="22.5" customHeight="1">
      <c r="A67" s="4">
        <v>46185.879162835648</v>
      </c>
      <c r="B67" s="5" t="s">
        <v>27</v>
      </c>
      <c r="C67" s="5">
        <v>5</v>
      </c>
      <c r="D67" s="5" t="s">
        <v>59</v>
      </c>
      <c r="E67" s="5" t="s">
        <v>266</v>
      </c>
      <c r="F67" s="5" t="s">
        <v>267</v>
      </c>
      <c r="G67" s="5" t="s">
        <v>268</v>
      </c>
      <c r="H67" s="5" t="s">
        <v>269</v>
      </c>
      <c r="K67" s="5" t="s">
        <v>58</v>
      </c>
    </row>
    <row r="68" spans="1:11" ht="22.5" customHeight="1">
      <c r="A68" s="4">
        <v>46186.37933787037</v>
      </c>
      <c r="B68" s="5" t="s">
        <v>35</v>
      </c>
      <c r="C68" s="5">
        <v>5</v>
      </c>
      <c r="D68" s="5" t="s">
        <v>270</v>
      </c>
      <c r="E68" s="5" t="s">
        <v>271</v>
      </c>
      <c r="F68" s="5" t="s">
        <v>165</v>
      </c>
      <c r="G68" s="5" t="s">
        <v>56</v>
      </c>
      <c r="H68" s="5" t="s">
        <v>272</v>
      </c>
      <c r="K68" s="5" t="s">
        <v>58</v>
      </c>
    </row>
    <row r="69" spans="1:11" ht="22.5" customHeight="1">
      <c r="A69" s="4">
        <v>46187.710202604168</v>
      </c>
      <c r="B69" s="5" t="s">
        <v>27</v>
      </c>
      <c r="C69" s="5">
        <v>5</v>
      </c>
      <c r="D69" s="5" t="s">
        <v>273</v>
      </c>
      <c r="E69" s="5" t="s">
        <v>274</v>
      </c>
      <c r="F69" s="5" t="s">
        <v>275</v>
      </c>
      <c r="G69" s="5" t="s">
        <v>77</v>
      </c>
      <c r="H69" s="5" t="s">
        <v>276</v>
      </c>
      <c r="I69" s="5" t="s">
        <v>277</v>
      </c>
      <c r="J69" s="5" t="s">
        <v>278</v>
      </c>
      <c r="K69" s="5" t="s">
        <v>58</v>
      </c>
    </row>
  </sheetData>
  <pageMargins left="0.74803149606299213" right="0.74803149606299213" top="1.3775590551181103" bottom="1.3775590551181103" header="0.98385826771653528" footer="0.98385826771653528"/>
  <pageSetup paperSize="0" fitToWidth="0" fitToHeight="0" orientation="portrait" horizontalDpi="0" verticalDpi="0" copies="0"/>
  <headerFooter alignWithMargins="0"/>
  <legacyDrawing r:id="rId1"/>
  <tableParts count="1">
    <tablePart r:id="rId2"/>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EE60DA1-ADAD-4DFE-AC28-73C159CF0BBC}">
  <dimension ref="A1:XFD999"/>
  <sheetViews>
    <sheetView workbookViewId="0"/>
  </sheetViews>
  <sheetFormatPr defaultRowHeight="15.75" customHeight="1"/>
  <cols>
    <col min="1" max="1" width="19.140625" style="3" customWidth="1"/>
    <col min="2" max="2" width="13.42578125" style="3" customWidth="1"/>
    <col min="3" max="3" width="31.140625" style="3" customWidth="1"/>
    <col min="4" max="4" width="30.5703125" style="3" customWidth="1"/>
    <col min="5" max="6" width="31.28515625" style="3" customWidth="1"/>
    <col min="7" max="8" width="26.42578125" style="3" customWidth="1"/>
    <col min="9" max="9" width="42.5703125" style="3" customWidth="1"/>
    <col min="10" max="1024" width="13.42578125" style="3" customWidth="1"/>
  </cols>
  <sheetData>
    <row r="1" spans="1:27" ht="128.25">
      <c r="A1" s="6" t="s">
        <v>27</v>
      </c>
      <c r="B1" s="6">
        <v>4</v>
      </c>
      <c r="C1" s="6" t="s">
        <v>279</v>
      </c>
      <c r="D1" s="6" t="s">
        <v>280</v>
      </c>
      <c r="E1" s="6" t="s">
        <v>281</v>
      </c>
      <c r="F1" s="6" t="s">
        <v>77</v>
      </c>
      <c r="G1" s="6"/>
      <c r="H1" s="6"/>
      <c r="I1" s="6"/>
      <c r="J1" s="6" t="s">
        <v>20</v>
      </c>
      <c r="K1" s="6"/>
      <c r="L1" s="6"/>
      <c r="M1" s="6"/>
      <c r="N1" s="6"/>
      <c r="O1" s="6"/>
      <c r="P1" s="6"/>
      <c r="Q1" s="6"/>
      <c r="R1" s="6"/>
      <c r="S1" s="6"/>
      <c r="T1" s="6"/>
      <c r="U1" s="6"/>
      <c r="V1" s="6"/>
      <c r="W1" s="6"/>
      <c r="X1" s="6"/>
      <c r="Y1" s="6"/>
      <c r="Z1" s="6"/>
      <c r="AA1" s="6"/>
    </row>
    <row r="2" spans="1:27" ht="99.75">
      <c r="A2" s="6" t="s">
        <v>35</v>
      </c>
      <c r="B2" s="6">
        <v>5</v>
      </c>
      <c r="C2" s="6" t="s">
        <v>279</v>
      </c>
      <c r="D2" s="6" t="s">
        <v>282</v>
      </c>
      <c r="E2" s="6" t="s">
        <v>283</v>
      </c>
      <c r="F2" s="6" t="s">
        <v>77</v>
      </c>
      <c r="G2" s="6" t="s">
        <v>284</v>
      </c>
      <c r="H2" s="6"/>
      <c r="I2" s="6"/>
      <c r="J2" s="6" t="s">
        <v>20</v>
      </c>
      <c r="K2" s="6"/>
      <c r="L2" s="6"/>
      <c r="M2" s="6"/>
      <c r="N2" s="6"/>
      <c r="O2" s="6"/>
      <c r="P2" s="6"/>
      <c r="Q2" s="6"/>
      <c r="R2" s="6"/>
      <c r="S2" s="6"/>
      <c r="T2" s="6"/>
      <c r="U2" s="6"/>
      <c r="V2" s="6"/>
      <c r="W2" s="6"/>
      <c r="X2" s="6"/>
      <c r="Y2" s="6"/>
      <c r="Z2" s="6"/>
      <c r="AA2" s="6"/>
    </row>
    <row r="3" spans="1:27" ht="171">
      <c r="A3" s="6" t="s">
        <v>35</v>
      </c>
      <c r="B3" s="6">
        <v>4</v>
      </c>
      <c r="C3" s="6" t="s">
        <v>285</v>
      </c>
      <c r="D3" s="6" t="s">
        <v>286</v>
      </c>
      <c r="E3" s="6" t="s">
        <v>110</v>
      </c>
      <c r="F3" s="6" t="s">
        <v>189</v>
      </c>
      <c r="G3" s="6"/>
      <c r="H3" s="6"/>
      <c r="I3" s="6"/>
      <c r="J3" s="6" t="s">
        <v>20</v>
      </c>
      <c r="K3" s="6"/>
      <c r="L3" s="6"/>
      <c r="M3" s="6"/>
      <c r="N3" s="6"/>
      <c r="O3" s="6"/>
      <c r="P3" s="6"/>
      <c r="Q3" s="6"/>
      <c r="R3" s="6"/>
      <c r="S3" s="6"/>
      <c r="T3" s="6"/>
      <c r="U3" s="6"/>
      <c r="V3" s="6"/>
      <c r="W3" s="6"/>
      <c r="X3" s="6"/>
      <c r="Y3" s="6"/>
      <c r="Z3" s="6"/>
      <c r="AA3" s="6"/>
    </row>
    <row r="4" spans="1:27" ht="256.5">
      <c r="A4" s="6" t="s">
        <v>27</v>
      </c>
      <c r="B4" s="6">
        <v>4</v>
      </c>
      <c r="C4" s="6" t="s">
        <v>287</v>
      </c>
      <c r="D4" s="6" t="s">
        <v>288</v>
      </c>
      <c r="E4" s="6" t="s">
        <v>99</v>
      </c>
      <c r="F4" s="6" t="s">
        <v>289</v>
      </c>
      <c r="G4" s="6" t="s">
        <v>290</v>
      </c>
      <c r="H4" s="6"/>
      <c r="I4" s="6"/>
      <c r="J4" s="6" t="s">
        <v>20</v>
      </c>
      <c r="K4" s="6"/>
      <c r="L4" s="6"/>
      <c r="M4" s="6"/>
      <c r="N4" s="6"/>
      <c r="O4" s="6"/>
      <c r="P4" s="6"/>
      <c r="Q4" s="6"/>
      <c r="R4" s="6"/>
      <c r="S4" s="6"/>
      <c r="T4" s="6"/>
      <c r="U4" s="6"/>
      <c r="V4" s="6"/>
      <c r="W4" s="6"/>
      <c r="X4" s="6"/>
      <c r="Y4" s="6"/>
      <c r="Z4" s="6"/>
      <c r="AA4" s="6"/>
    </row>
    <row r="5" spans="1:27" ht="199.5">
      <c r="A5" s="6" t="s">
        <v>27</v>
      </c>
      <c r="B5" s="6">
        <v>5</v>
      </c>
      <c r="C5" s="6" t="s">
        <v>48</v>
      </c>
      <c r="D5" s="6" t="s">
        <v>291</v>
      </c>
      <c r="E5" s="6" t="s">
        <v>93</v>
      </c>
      <c r="F5" s="6" t="s">
        <v>292</v>
      </c>
      <c r="G5" s="6" t="s">
        <v>293</v>
      </c>
      <c r="H5" s="6" t="s">
        <v>294</v>
      </c>
      <c r="I5" s="6" t="s">
        <v>295</v>
      </c>
      <c r="J5" s="6" t="s">
        <v>20</v>
      </c>
      <c r="K5" s="6"/>
      <c r="L5" s="6"/>
      <c r="M5" s="6"/>
      <c r="N5" s="6"/>
      <c r="O5" s="6"/>
      <c r="P5" s="6"/>
      <c r="Q5" s="6"/>
      <c r="R5" s="6"/>
      <c r="S5" s="6"/>
      <c r="T5" s="6"/>
      <c r="U5" s="6"/>
      <c r="V5" s="6"/>
      <c r="W5" s="6"/>
      <c r="X5" s="6"/>
      <c r="Y5" s="6"/>
      <c r="Z5" s="6"/>
      <c r="AA5" s="6"/>
    </row>
    <row r="6" spans="1:27" ht="99.75">
      <c r="A6" s="6" t="s">
        <v>27</v>
      </c>
      <c r="B6" s="6">
        <v>5</v>
      </c>
      <c r="C6" s="6" t="s">
        <v>296</v>
      </c>
      <c r="D6" s="6" t="s">
        <v>297</v>
      </c>
      <c r="E6" s="6" t="s">
        <v>67</v>
      </c>
      <c r="F6" s="6" t="s">
        <v>74</v>
      </c>
      <c r="G6" s="6"/>
      <c r="H6" s="6"/>
      <c r="I6" s="6"/>
      <c r="J6" s="6" t="s">
        <v>58</v>
      </c>
      <c r="K6" s="6"/>
      <c r="L6" s="6"/>
      <c r="M6" s="6"/>
      <c r="N6" s="6"/>
      <c r="O6" s="6"/>
      <c r="P6" s="6"/>
      <c r="Q6" s="6"/>
      <c r="R6" s="6"/>
      <c r="S6" s="6"/>
      <c r="T6" s="6"/>
      <c r="U6" s="6"/>
      <c r="V6" s="6"/>
      <c r="W6" s="6"/>
      <c r="X6" s="6"/>
      <c r="Y6" s="6"/>
      <c r="Z6" s="6"/>
      <c r="AA6" s="6"/>
    </row>
    <row r="7" spans="1:27" ht="185.25">
      <c r="A7" s="6" t="s">
        <v>35</v>
      </c>
      <c r="B7" s="6">
        <v>5</v>
      </c>
      <c r="C7" s="6" t="s">
        <v>287</v>
      </c>
      <c r="D7" s="6" t="s">
        <v>298</v>
      </c>
      <c r="E7" s="6" t="s">
        <v>73</v>
      </c>
      <c r="F7" s="6" t="s">
        <v>74</v>
      </c>
      <c r="G7" s="6" t="s">
        <v>299</v>
      </c>
      <c r="H7" s="6" t="s">
        <v>300</v>
      </c>
      <c r="I7" s="6"/>
      <c r="J7" s="6" t="s">
        <v>34</v>
      </c>
      <c r="K7" s="6"/>
      <c r="L7" s="6"/>
      <c r="M7" s="6"/>
      <c r="N7" s="6"/>
      <c r="O7" s="6"/>
      <c r="P7" s="6"/>
      <c r="Q7" s="6"/>
      <c r="R7" s="6"/>
      <c r="S7" s="6"/>
      <c r="T7" s="6"/>
      <c r="U7" s="6"/>
      <c r="V7" s="6"/>
      <c r="W7" s="6"/>
      <c r="X7" s="6"/>
      <c r="Y7" s="6"/>
      <c r="Z7" s="6"/>
      <c r="AA7" s="6"/>
    </row>
    <row r="8" spans="1:27" ht="229.5">
      <c r="A8" s="6" t="s">
        <v>27</v>
      </c>
      <c r="B8" s="6">
        <v>4</v>
      </c>
      <c r="C8" s="6" t="s">
        <v>43</v>
      </c>
      <c r="D8" s="6" t="s">
        <v>301</v>
      </c>
      <c r="E8" s="7" t="s">
        <v>302</v>
      </c>
      <c r="F8" s="7" t="s">
        <v>303</v>
      </c>
      <c r="G8" s="6" t="s">
        <v>304</v>
      </c>
      <c r="H8" s="6" t="s">
        <v>305</v>
      </c>
      <c r="I8" s="6"/>
      <c r="J8" s="6" t="s">
        <v>20</v>
      </c>
      <c r="K8" s="6"/>
      <c r="L8" s="6"/>
      <c r="M8" s="6"/>
      <c r="N8" s="6"/>
      <c r="O8" s="6"/>
      <c r="P8" s="6"/>
      <c r="Q8" s="6"/>
      <c r="R8" s="6"/>
      <c r="S8" s="6"/>
      <c r="T8" s="6"/>
      <c r="U8" s="6"/>
      <c r="V8" s="6"/>
      <c r="W8" s="6"/>
      <c r="X8" s="6"/>
      <c r="Y8" s="6"/>
      <c r="Z8" s="6"/>
      <c r="AA8" s="6"/>
    </row>
    <row r="9" spans="1:27" ht="157.5">
      <c r="A9" s="6" t="s">
        <v>35</v>
      </c>
      <c r="B9" s="6">
        <v>5</v>
      </c>
      <c r="C9" s="6" t="s">
        <v>287</v>
      </c>
      <c r="D9" s="6" t="s">
        <v>306</v>
      </c>
      <c r="E9" s="7" t="s">
        <v>307</v>
      </c>
      <c r="F9" s="6" t="s">
        <v>289</v>
      </c>
      <c r="G9" s="6"/>
      <c r="H9" s="6"/>
      <c r="I9" s="6"/>
      <c r="J9" s="6" t="s">
        <v>20</v>
      </c>
      <c r="K9" s="6"/>
      <c r="L9" s="6"/>
      <c r="M9" s="6"/>
      <c r="N9" s="6"/>
      <c r="O9" s="6"/>
      <c r="P9" s="6"/>
      <c r="Q9" s="6"/>
      <c r="R9" s="6"/>
      <c r="S9" s="6"/>
      <c r="T9" s="6"/>
      <c r="U9" s="6"/>
      <c r="V9" s="6"/>
      <c r="W9" s="6"/>
      <c r="X9" s="6"/>
      <c r="Y9" s="6"/>
      <c r="Z9" s="6"/>
      <c r="AA9" s="6"/>
    </row>
    <row r="10" spans="1:27" ht="85.5">
      <c r="A10" s="6" t="s">
        <v>27</v>
      </c>
      <c r="B10" s="6">
        <v>3</v>
      </c>
      <c r="C10" s="6" t="s">
        <v>308</v>
      </c>
      <c r="D10" s="6" t="s">
        <v>309</v>
      </c>
      <c r="E10" s="6" t="s">
        <v>38</v>
      </c>
      <c r="F10" s="6" t="s">
        <v>77</v>
      </c>
      <c r="G10" s="6"/>
      <c r="H10" s="6"/>
      <c r="I10" s="6"/>
      <c r="J10" s="6" t="s">
        <v>310</v>
      </c>
      <c r="K10" s="6"/>
      <c r="L10" s="6"/>
      <c r="M10" s="6"/>
      <c r="N10" s="6"/>
      <c r="O10" s="6"/>
      <c r="P10" s="6"/>
      <c r="Q10" s="6"/>
      <c r="R10" s="6"/>
      <c r="S10" s="6"/>
      <c r="T10" s="6"/>
      <c r="U10" s="6"/>
      <c r="V10" s="6"/>
      <c r="W10" s="6"/>
      <c r="X10" s="6"/>
      <c r="Y10" s="6"/>
      <c r="Z10" s="6"/>
      <c r="AA10" s="6"/>
    </row>
    <row r="11" spans="1:27" ht="129">
      <c r="A11" s="6" t="s">
        <v>27</v>
      </c>
      <c r="B11" s="6">
        <v>5</v>
      </c>
      <c r="C11" s="6" t="s">
        <v>311</v>
      </c>
      <c r="D11" s="6" t="s">
        <v>312</v>
      </c>
      <c r="E11" s="7" t="s">
        <v>307</v>
      </c>
      <c r="F11" s="6" t="s">
        <v>313</v>
      </c>
      <c r="G11" s="6"/>
      <c r="H11" s="6"/>
      <c r="I11" s="6"/>
      <c r="J11" s="6" t="s">
        <v>310</v>
      </c>
      <c r="K11" s="6"/>
      <c r="L11" s="6"/>
      <c r="M11" s="6"/>
      <c r="N11" s="6"/>
      <c r="O11" s="6"/>
      <c r="P11" s="6"/>
      <c r="Q11" s="6"/>
      <c r="R11" s="6"/>
      <c r="S11" s="6"/>
      <c r="T11" s="6"/>
      <c r="U11" s="6"/>
      <c r="V11" s="6"/>
      <c r="W11" s="6"/>
      <c r="X11" s="6"/>
      <c r="Y11" s="6"/>
      <c r="Z11" s="6"/>
      <c r="AA11" s="6"/>
    </row>
    <row r="12" spans="1:27" ht="85.5">
      <c r="A12" s="6" t="s">
        <v>27</v>
      </c>
      <c r="B12" s="6">
        <v>5</v>
      </c>
      <c r="C12" s="6" t="s">
        <v>314</v>
      </c>
      <c r="D12" s="6" t="s">
        <v>315</v>
      </c>
      <c r="E12" s="6" t="s">
        <v>99</v>
      </c>
      <c r="F12" s="6" t="s">
        <v>77</v>
      </c>
      <c r="G12" s="6"/>
      <c r="H12" s="6"/>
      <c r="I12" s="6"/>
      <c r="J12" s="6" t="s">
        <v>20</v>
      </c>
      <c r="K12" s="6"/>
      <c r="L12" s="6"/>
      <c r="M12" s="6"/>
      <c r="N12" s="6"/>
      <c r="O12" s="6"/>
      <c r="P12" s="6"/>
      <c r="Q12" s="6"/>
      <c r="R12" s="6"/>
      <c r="S12" s="6"/>
      <c r="T12" s="6"/>
      <c r="U12" s="6"/>
      <c r="V12" s="6"/>
      <c r="W12" s="6"/>
      <c r="X12" s="6"/>
      <c r="Y12" s="6"/>
      <c r="Z12" s="6"/>
      <c r="AA12" s="6"/>
    </row>
    <row r="13" spans="1:27" ht="159.75">
      <c r="A13" s="6" t="s">
        <v>35</v>
      </c>
      <c r="B13" s="6">
        <v>5</v>
      </c>
      <c r="C13" s="6" t="s">
        <v>287</v>
      </c>
      <c r="D13" s="6" t="s">
        <v>316</v>
      </c>
      <c r="E13" s="7" t="s">
        <v>317</v>
      </c>
      <c r="F13" s="6" t="s">
        <v>318</v>
      </c>
      <c r="G13" s="6" t="s">
        <v>319</v>
      </c>
      <c r="H13" s="6"/>
      <c r="I13" s="6"/>
      <c r="J13" s="6" t="s">
        <v>58</v>
      </c>
      <c r="K13" s="6"/>
      <c r="L13" s="6"/>
      <c r="M13" s="6"/>
      <c r="N13" s="6"/>
      <c r="O13" s="6"/>
      <c r="P13" s="6"/>
      <c r="Q13" s="6"/>
      <c r="R13" s="6"/>
      <c r="S13" s="6"/>
      <c r="T13" s="6"/>
      <c r="U13" s="6"/>
      <c r="V13" s="6"/>
      <c r="W13" s="6"/>
      <c r="X13" s="6"/>
      <c r="Y13" s="6"/>
      <c r="Z13" s="6"/>
      <c r="AA13" s="6"/>
    </row>
    <row r="14" spans="1:27" ht="85.5">
      <c r="A14" s="6" t="s">
        <v>27</v>
      </c>
      <c r="B14" s="6">
        <v>4</v>
      </c>
      <c r="C14" s="6" t="s">
        <v>320</v>
      </c>
      <c r="D14" s="6" t="s">
        <v>321</v>
      </c>
      <c r="E14" s="6" t="s">
        <v>322</v>
      </c>
      <c r="F14" s="6" t="s">
        <v>322</v>
      </c>
      <c r="H14" s="6"/>
      <c r="I14" s="6"/>
      <c r="J14" s="6" t="s">
        <v>20</v>
      </c>
      <c r="K14" s="6"/>
      <c r="L14" s="6"/>
      <c r="M14" s="6"/>
      <c r="N14" s="6"/>
      <c r="O14" s="6"/>
      <c r="P14" s="6"/>
      <c r="Q14" s="6"/>
      <c r="R14" s="6"/>
      <c r="S14" s="6"/>
      <c r="T14" s="6"/>
      <c r="U14" s="6"/>
      <c r="V14" s="6"/>
      <c r="W14" s="6"/>
      <c r="X14" s="6"/>
      <c r="Y14" s="6"/>
      <c r="Z14" s="6"/>
      <c r="AA14" s="6"/>
    </row>
    <row r="15" spans="1:27" ht="114">
      <c r="A15" s="6" t="s">
        <v>35</v>
      </c>
      <c r="B15" s="6">
        <v>4</v>
      </c>
      <c r="C15" s="6" t="s">
        <v>323</v>
      </c>
      <c r="D15" s="6" t="s">
        <v>324</v>
      </c>
      <c r="E15" s="6" t="s">
        <v>23</v>
      </c>
      <c r="F15" s="6" t="s">
        <v>325</v>
      </c>
      <c r="G15" s="6" t="s">
        <v>326</v>
      </c>
      <c r="H15" s="6" t="s">
        <v>327</v>
      </c>
      <c r="J15" s="6" t="s">
        <v>42</v>
      </c>
      <c r="K15" s="6"/>
      <c r="L15" s="6"/>
      <c r="M15" s="6"/>
      <c r="N15" s="6"/>
      <c r="O15" s="6"/>
      <c r="P15" s="6"/>
      <c r="Q15" s="6"/>
      <c r="R15" s="6"/>
      <c r="S15" s="6"/>
      <c r="T15" s="6"/>
      <c r="U15" s="6"/>
      <c r="V15" s="6"/>
      <c r="W15" s="6"/>
      <c r="X15" s="6"/>
      <c r="Y15" s="6"/>
      <c r="Z15" s="6"/>
      <c r="AA15" s="6"/>
    </row>
    <row r="16" spans="1:27" ht="171">
      <c r="A16" s="6" t="s">
        <v>27</v>
      </c>
      <c r="B16" s="6">
        <v>5</v>
      </c>
      <c r="C16" s="6" t="s">
        <v>328</v>
      </c>
      <c r="D16" s="6" t="s">
        <v>322</v>
      </c>
      <c r="E16" s="6" t="s">
        <v>322</v>
      </c>
      <c r="F16" s="6" t="s">
        <v>322</v>
      </c>
      <c r="G16" s="6" t="s">
        <v>329</v>
      </c>
      <c r="H16" s="6"/>
      <c r="I16" s="6"/>
      <c r="J16" s="6" t="s">
        <v>20</v>
      </c>
      <c r="K16" s="6"/>
      <c r="L16" s="6"/>
      <c r="M16" s="6"/>
      <c r="N16" s="6"/>
      <c r="O16" s="6"/>
      <c r="P16" s="6"/>
      <c r="Q16" s="6"/>
      <c r="R16" s="6"/>
      <c r="S16" s="6"/>
      <c r="T16" s="6"/>
      <c r="U16" s="6"/>
      <c r="V16" s="6"/>
      <c r="W16" s="6"/>
      <c r="X16" s="6"/>
      <c r="Y16" s="6"/>
      <c r="Z16" s="6"/>
      <c r="AA16" s="6"/>
    </row>
    <row r="17" spans="1:27" ht="114.75">
      <c r="A17" s="6" t="s">
        <v>35</v>
      </c>
      <c r="B17" s="6">
        <v>4</v>
      </c>
      <c r="C17" s="6" t="s">
        <v>208</v>
      </c>
      <c r="D17" s="6" t="s">
        <v>330</v>
      </c>
      <c r="E17" s="7" t="s">
        <v>331</v>
      </c>
      <c r="F17" s="6" t="s">
        <v>332</v>
      </c>
      <c r="G17" s="6" t="s">
        <v>333</v>
      </c>
      <c r="H17" s="6"/>
      <c r="I17" s="6"/>
      <c r="J17" s="6" t="s">
        <v>58</v>
      </c>
      <c r="K17" s="6"/>
      <c r="L17" s="6"/>
      <c r="M17" s="6"/>
      <c r="N17" s="6"/>
      <c r="O17" s="6"/>
      <c r="P17" s="6"/>
      <c r="Q17" s="6"/>
      <c r="R17" s="6"/>
      <c r="S17" s="6"/>
      <c r="T17" s="6"/>
      <c r="U17" s="6"/>
      <c r="V17" s="6"/>
      <c r="W17" s="6"/>
      <c r="X17" s="6"/>
      <c r="Y17" s="6"/>
      <c r="Z17" s="6"/>
      <c r="AA17" s="6"/>
    </row>
    <row r="18" spans="1:27" ht="114">
      <c r="A18" s="6" t="s">
        <v>35</v>
      </c>
      <c r="B18" s="6">
        <v>3</v>
      </c>
      <c r="C18" s="6" t="s">
        <v>334</v>
      </c>
      <c r="D18" s="6" t="s">
        <v>335</v>
      </c>
      <c r="E18" s="6" t="s">
        <v>336</v>
      </c>
      <c r="F18" s="6" t="s">
        <v>325</v>
      </c>
      <c r="G18" s="6" t="s">
        <v>337</v>
      </c>
      <c r="H18" s="6"/>
      <c r="I18" s="6"/>
      <c r="J18" s="6" t="s">
        <v>338</v>
      </c>
      <c r="K18" s="6"/>
      <c r="L18" s="6"/>
      <c r="M18" s="6"/>
      <c r="N18" s="6"/>
      <c r="O18" s="6"/>
      <c r="P18" s="6"/>
      <c r="Q18" s="6"/>
      <c r="R18" s="6"/>
      <c r="S18" s="6"/>
      <c r="T18" s="6"/>
      <c r="U18" s="6"/>
      <c r="V18" s="6"/>
      <c r="W18" s="6"/>
      <c r="X18" s="6"/>
      <c r="Y18" s="6"/>
      <c r="Z18" s="6"/>
      <c r="AA18" s="6"/>
    </row>
    <row r="19" spans="1:27" ht="156.75">
      <c r="A19" s="6" t="s">
        <v>35</v>
      </c>
      <c r="B19" s="6">
        <v>4</v>
      </c>
      <c r="C19" s="6" t="s">
        <v>339</v>
      </c>
      <c r="D19" s="6" t="s">
        <v>340</v>
      </c>
      <c r="E19" s="6" t="s">
        <v>281</v>
      </c>
      <c r="F19" s="6" t="s">
        <v>56</v>
      </c>
      <c r="G19" s="6" t="s">
        <v>341</v>
      </c>
      <c r="H19" s="6"/>
      <c r="I19" s="6"/>
      <c r="J19" s="6" t="s">
        <v>20</v>
      </c>
      <c r="K19" s="6"/>
      <c r="L19" s="6"/>
      <c r="M19" s="6"/>
      <c r="N19" s="6"/>
      <c r="O19" s="6"/>
      <c r="P19" s="6"/>
      <c r="Q19" s="6"/>
      <c r="R19" s="6"/>
      <c r="S19" s="6"/>
      <c r="T19" s="6"/>
      <c r="U19" s="6"/>
      <c r="V19" s="6"/>
      <c r="W19" s="6"/>
      <c r="X19" s="6"/>
      <c r="Y19" s="6"/>
      <c r="Z19" s="6"/>
      <c r="AA19" s="6"/>
    </row>
    <row r="20" spans="1:27" ht="99.75">
      <c r="A20" s="6" t="s">
        <v>27</v>
      </c>
      <c r="B20" s="6">
        <v>4</v>
      </c>
      <c r="C20" s="6" t="s">
        <v>342</v>
      </c>
      <c r="D20" s="6" t="s">
        <v>343</v>
      </c>
      <c r="E20" s="6" t="s">
        <v>23</v>
      </c>
      <c r="F20" s="6" t="s">
        <v>344</v>
      </c>
      <c r="G20" s="6"/>
      <c r="H20" s="6"/>
      <c r="I20" s="6" t="s">
        <v>345</v>
      </c>
      <c r="J20" s="6" t="s">
        <v>310</v>
      </c>
      <c r="K20" s="6"/>
      <c r="L20" s="6"/>
      <c r="M20" s="6"/>
      <c r="N20" s="6"/>
      <c r="O20" s="6"/>
      <c r="P20" s="6"/>
      <c r="Q20" s="6"/>
      <c r="R20" s="6"/>
      <c r="S20" s="6"/>
      <c r="T20" s="6"/>
      <c r="U20" s="6"/>
      <c r="V20" s="6"/>
      <c r="W20" s="6"/>
      <c r="X20" s="6"/>
      <c r="Y20" s="6"/>
      <c r="Z20" s="6"/>
      <c r="AA20" s="6"/>
    </row>
    <row r="21" spans="1:27" ht="99.75">
      <c r="A21" s="6" t="s">
        <v>27</v>
      </c>
      <c r="B21" s="6">
        <v>3</v>
      </c>
      <c r="C21" s="6" t="s">
        <v>346</v>
      </c>
      <c r="D21" s="6" t="s">
        <v>347</v>
      </c>
      <c r="E21" s="6" t="s">
        <v>348</v>
      </c>
      <c r="F21" s="6" t="s">
        <v>349</v>
      </c>
      <c r="G21" s="6" t="s">
        <v>350</v>
      </c>
      <c r="H21" s="6" t="s">
        <v>351</v>
      </c>
      <c r="I21" s="6" t="s">
        <v>352</v>
      </c>
      <c r="J21" s="6" t="s">
        <v>310</v>
      </c>
      <c r="K21" s="6"/>
      <c r="L21" s="6"/>
      <c r="M21" s="6"/>
      <c r="N21" s="6"/>
      <c r="O21" s="6"/>
      <c r="P21" s="6"/>
      <c r="Q21" s="6"/>
      <c r="R21" s="6"/>
      <c r="S21" s="6"/>
      <c r="T21" s="6"/>
      <c r="U21" s="6"/>
      <c r="V21" s="6"/>
      <c r="W21" s="6"/>
      <c r="X21" s="6"/>
      <c r="Y21" s="6"/>
      <c r="Z21" s="6"/>
      <c r="AA21" s="6"/>
    </row>
    <row r="22" spans="1:27" ht="249">
      <c r="A22" s="6" t="s">
        <v>35</v>
      </c>
      <c r="B22" s="6">
        <v>5</v>
      </c>
      <c r="C22" s="6" t="s">
        <v>353</v>
      </c>
      <c r="D22" s="6" t="s">
        <v>354</v>
      </c>
      <c r="E22" s="6" t="s">
        <v>355</v>
      </c>
      <c r="F22" s="6" t="s">
        <v>356</v>
      </c>
      <c r="G22" s="6" t="s">
        <v>357</v>
      </c>
      <c r="H22" s="6"/>
      <c r="I22" s="6"/>
      <c r="J22" s="6" t="s">
        <v>20</v>
      </c>
      <c r="K22" s="6"/>
      <c r="L22" s="6"/>
      <c r="M22" s="6"/>
      <c r="N22" s="6"/>
      <c r="O22" s="6"/>
      <c r="P22" s="6"/>
      <c r="Q22" s="6"/>
      <c r="R22" s="6"/>
      <c r="S22" s="6"/>
      <c r="T22" s="6"/>
      <c r="U22" s="6"/>
      <c r="V22" s="6"/>
      <c r="W22" s="6"/>
      <c r="X22" s="6"/>
      <c r="Y22" s="6"/>
      <c r="Z22" s="6"/>
      <c r="AA22" s="6"/>
    </row>
    <row r="23" spans="1:27" ht="71.25">
      <c r="A23" s="6" t="s">
        <v>35</v>
      </c>
      <c r="B23" s="6">
        <v>3</v>
      </c>
      <c r="C23" s="6" t="s">
        <v>358</v>
      </c>
      <c r="D23" s="6" t="s">
        <v>359</v>
      </c>
      <c r="E23" s="6" t="s">
        <v>17</v>
      </c>
      <c r="F23" s="6" t="s">
        <v>77</v>
      </c>
      <c r="G23" s="6"/>
      <c r="H23" s="6"/>
      <c r="I23" s="6"/>
      <c r="J23" s="6" t="s">
        <v>42</v>
      </c>
      <c r="K23" s="6"/>
      <c r="L23" s="6"/>
      <c r="M23" s="6"/>
      <c r="N23" s="6"/>
      <c r="O23" s="6"/>
      <c r="P23" s="6"/>
      <c r="Q23" s="6"/>
      <c r="R23" s="6"/>
      <c r="S23" s="6"/>
      <c r="T23" s="6"/>
      <c r="U23" s="6"/>
      <c r="V23" s="6"/>
      <c r="W23" s="6"/>
      <c r="X23" s="6"/>
      <c r="Y23" s="6"/>
      <c r="Z23" s="6"/>
      <c r="AA23" s="6"/>
    </row>
    <row r="24" spans="1:27" ht="99.75">
      <c r="A24" s="6" t="s">
        <v>27</v>
      </c>
      <c r="B24" s="6">
        <v>4</v>
      </c>
      <c r="C24" s="6" t="s">
        <v>360</v>
      </c>
      <c r="D24" s="6" t="s">
        <v>361</v>
      </c>
      <c r="E24" s="6" t="s">
        <v>17</v>
      </c>
      <c r="F24" s="6" t="s">
        <v>77</v>
      </c>
      <c r="G24" s="6" t="s">
        <v>362</v>
      </c>
      <c r="H24" s="6"/>
      <c r="I24" s="6"/>
      <c r="J24" s="6" t="s">
        <v>20</v>
      </c>
      <c r="K24" s="6"/>
      <c r="L24" s="6"/>
      <c r="M24" s="6"/>
      <c r="N24" s="6"/>
      <c r="O24" s="6"/>
      <c r="P24" s="6"/>
      <c r="Q24" s="6"/>
      <c r="R24" s="6"/>
      <c r="S24" s="6"/>
      <c r="T24" s="6"/>
      <c r="U24" s="6"/>
      <c r="V24" s="6"/>
      <c r="W24" s="6"/>
      <c r="X24" s="6"/>
      <c r="Y24" s="6"/>
      <c r="Z24" s="6"/>
      <c r="AA24" s="6"/>
    </row>
    <row r="25" spans="1:27" ht="99.75">
      <c r="A25" s="6" t="s">
        <v>27</v>
      </c>
      <c r="B25" s="6">
        <v>3</v>
      </c>
      <c r="C25" s="6" t="s">
        <v>363</v>
      </c>
      <c r="D25" s="6" t="s">
        <v>364</v>
      </c>
      <c r="E25" s="6" t="s">
        <v>17</v>
      </c>
      <c r="F25" s="6" t="s">
        <v>365</v>
      </c>
      <c r="G25" s="6" t="s">
        <v>366</v>
      </c>
      <c r="I25" s="6" t="s">
        <v>367</v>
      </c>
      <c r="J25" s="6" t="s">
        <v>20</v>
      </c>
      <c r="K25" s="6"/>
      <c r="L25" s="6"/>
      <c r="M25" s="6"/>
      <c r="N25" s="6"/>
      <c r="O25" s="6"/>
      <c r="P25" s="6"/>
      <c r="Q25" s="6"/>
      <c r="R25" s="6"/>
      <c r="S25" s="6"/>
      <c r="T25" s="6"/>
      <c r="U25" s="6"/>
      <c r="V25" s="6"/>
      <c r="W25" s="6"/>
      <c r="X25" s="6"/>
      <c r="Y25" s="6"/>
      <c r="Z25" s="6"/>
      <c r="AA25" s="6"/>
    </row>
    <row r="26" spans="1:27" ht="114.75">
      <c r="A26" s="6" t="s">
        <v>35</v>
      </c>
      <c r="B26" s="6">
        <v>3</v>
      </c>
      <c r="C26" s="6" t="s">
        <v>368</v>
      </c>
      <c r="D26" s="6" t="s">
        <v>369</v>
      </c>
      <c r="E26" s="6" t="s">
        <v>370</v>
      </c>
      <c r="F26" s="6" t="s">
        <v>371</v>
      </c>
      <c r="G26" s="6" t="s">
        <v>372</v>
      </c>
      <c r="H26" s="6"/>
      <c r="I26" s="6"/>
      <c r="J26" s="6" t="s">
        <v>20</v>
      </c>
      <c r="K26" s="6"/>
      <c r="L26" s="6"/>
      <c r="M26" s="6"/>
      <c r="N26" s="6"/>
      <c r="O26" s="6"/>
      <c r="P26" s="6"/>
      <c r="Q26" s="6"/>
      <c r="R26" s="6"/>
      <c r="S26" s="6"/>
      <c r="T26" s="6"/>
      <c r="U26" s="6"/>
      <c r="V26" s="6"/>
      <c r="W26" s="6"/>
      <c r="X26" s="6"/>
      <c r="Y26" s="6"/>
      <c r="Z26" s="6"/>
      <c r="AA26" s="6"/>
    </row>
    <row r="27" spans="1:27" ht="156.75">
      <c r="A27" s="6" t="s">
        <v>35</v>
      </c>
      <c r="B27" s="6">
        <v>5</v>
      </c>
      <c r="C27" s="6" t="s">
        <v>373</v>
      </c>
      <c r="D27" s="6" t="s">
        <v>374</v>
      </c>
      <c r="E27" s="6" t="s">
        <v>375</v>
      </c>
      <c r="F27" s="6" t="s">
        <v>77</v>
      </c>
      <c r="G27" s="6" t="s">
        <v>376</v>
      </c>
      <c r="H27" s="6" t="s">
        <v>377</v>
      </c>
      <c r="I27" s="6"/>
      <c r="J27" s="6" t="s">
        <v>20</v>
      </c>
      <c r="K27" s="6"/>
      <c r="L27" s="6"/>
      <c r="M27" s="6"/>
      <c r="N27" s="6"/>
      <c r="O27" s="6"/>
      <c r="P27" s="6"/>
      <c r="Q27" s="6"/>
      <c r="R27" s="6"/>
      <c r="S27" s="6"/>
      <c r="T27" s="6"/>
      <c r="U27" s="6"/>
      <c r="V27" s="6"/>
      <c r="W27" s="6"/>
      <c r="X27" s="6"/>
      <c r="Y27" s="6"/>
      <c r="Z27" s="6"/>
      <c r="AA27" s="6"/>
    </row>
    <row r="28" spans="1:27" ht="171">
      <c r="A28" s="6" t="s">
        <v>27</v>
      </c>
      <c r="B28" s="6">
        <v>4</v>
      </c>
      <c r="C28" s="6" t="s">
        <v>378</v>
      </c>
      <c r="D28" s="6" t="s">
        <v>379</v>
      </c>
      <c r="E28" s="6" t="s">
        <v>380</v>
      </c>
      <c r="F28" s="6" t="s">
        <v>381</v>
      </c>
      <c r="G28" s="6" t="s">
        <v>382</v>
      </c>
      <c r="H28" s="6"/>
      <c r="I28" s="6" t="s">
        <v>383</v>
      </c>
      <c r="J28" s="6" t="s">
        <v>20</v>
      </c>
      <c r="K28" s="6"/>
      <c r="L28" s="6"/>
      <c r="M28" s="6"/>
      <c r="N28" s="6"/>
      <c r="O28" s="6"/>
      <c r="P28" s="6"/>
      <c r="Q28" s="6"/>
      <c r="R28" s="6"/>
      <c r="S28" s="6"/>
      <c r="T28" s="6"/>
      <c r="U28" s="6"/>
      <c r="V28" s="6"/>
      <c r="W28" s="6"/>
      <c r="X28" s="6"/>
      <c r="Y28" s="6"/>
      <c r="Z28" s="6"/>
      <c r="AA28" s="6"/>
    </row>
    <row r="29" spans="1:27" ht="14.25">
      <c r="A29" s="6"/>
      <c r="B29" s="6"/>
      <c r="C29" s="6"/>
      <c r="D29" s="6"/>
      <c r="E29" s="6"/>
      <c r="F29" s="6"/>
      <c r="G29" s="6"/>
      <c r="H29" s="6"/>
      <c r="I29" s="6"/>
      <c r="J29" s="6"/>
      <c r="K29" s="6"/>
      <c r="L29" s="6"/>
      <c r="M29" s="6"/>
      <c r="N29" s="6"/>
      <c r="O29" s="6"/>
      <c r="P29" s="6"/>
      <c r="Q29" s="6"/>
      <c r="R29" s="6"/>
      <c r="S29" s="6"/>
      <c r="T29" s="6"/>
      <c r="U29" s="6"/>
      <c r="V29" s="6"/>
      <c r="W29" s="6"/>
      <c r="X29" s="6"/>
      <c r="Y29" s="6"/>
      <c r="Z29" s="6"/>
      <c r="AA29" s="6"/>
    </row>
    <row r="30" spans="1:27" ht="14.25">
      <c r="A30" s="6"/>
      <c r="B30" s="6"/>
      <c r="C30" s="6"/>
      <c r="D30" s="6"/>
      <c r="E30" s="6"/>
      <c r="F30" s="6"/>
      <c r="G30" s="6"/>
      <c r="H30" s="6"/>
      <c r="I30" s="6"/>
      <c r="J30" s="6"/>
      <c r="K30" s="6"/>
      <c r="L30" s="6"/>
      <c r="M30" s="6"/>
      <c r="N30" s="6"/>
      <c r="O30" s="6"/>
      <c r="P30" s="6"/>
      <c r="Q30" s="6"/>
      <c r="R30" s="6"/>
      <c r="S30" s="6"/>
      <c r="T30" s="6"/>
      <c r="U30" s="6"/>
      <c r="V30" s="6"/>
      <c r="W30" s="6"/>
      <c r="X30" s="6"/>
      <c r="Y30" s="6"/>
      <c r="Z30" s="6"/>
      <c r="AA30" s="6"/>
    </row>
    <row r="31" spans="1:27" ht="14.25">
      <c r="A31" s="6"/>
      <c r="B31" s="6"/>
      <c r="C31" s="6"/>
      <c r="D31" s="6"/>
      <c r="E31" s="6"/>
      <c r="F31" s="6"/>
      <c r="G31" s="6"/>
      <c r="H31" s="6"/>
      <c r="I31" s="6"/>
      <c r="J31" s="6"/>
      <c r="K31" s="6"/>
      <c r="L31" s="6"/>
      <c r="M31" s="6"/>
      <c r="N31" s="6"/>
      <c r="O31" s="6"/>
      <c r="P31" s="6"/>
      <c r="Q31" s="6"/>
      <c r="R31" s="6"/>
      <c r="S31" s="6"/>
      <c r="T31" s="6"/>
      <c r="U31" s="6"/>
      <c r="V31" s="6"/>
      <c r="W31" s="6"/>
      <c r="X31" s="6"/>
      <c r="Y31" s="6"/>
      <c r="Z31" s="6"/>
      <c r="AA31" s="6"/>
    </row>
    <row r="32" spans="1:27" ht="14.25">
      <c r="A32" s="6"/>
      <c r="B32" s="6"/>
      <c r="C32" s="6"/>
      <c r="D32" s="6"/>
      <c r="E32" s="6"/>
      <c r="F32" s="6"/>
      <c r="G32" s="6"/>
      <c r="H32" s="6"/>
      <c r="I32" s="6"/>
      <c r="J32" s="6"/>
      <c r="K32" s="6"/>
      <c r="L32" s="6"/>
      <c r="M32" s="6"/>
      <c r="N32" s="6"/>
      <c r="O32" s="6"/>
      <c r="P32" s="6"/>
      <c r="Q32" s="6"/>
      <c r="R32" s="6"/>
      <c r="S32" s="6"/>
      <c r="T32" s="6"/>
      <c r="U32" s="6"/>
      <c r="V32" s="6"/>
      <c r="W32" s="6"/>
      <c r="X32" s="6"/>
      <c r="Y32" s="6"/>
      <c r="Z32" s="6"/>
      <c r="AA32" s="6"/>
    </row>
    <row r="33" spans="1:27" ht="14.25">
      <c r="A33" s="6"/>
      <c r="B33" s="6"/>
      <c r="C33" s="6"/>
      <c r="D33" s="6"/>
      <c r="E33" s="6"/>
      <c r="F33" s="6"/>
      <c r="G33" s="6"/>
      <c r="H33" s="6"/>
      <c r="I33" s="6"/>
      <c r="J33" s="6"/>
      <c r="K33" s="6"/>
      <c r="L33" s="6"/>
      <c r="M33" s="6"/>
      <c r="N33" s="6"/>
      <c r="O33" s="6"/>
      <c r="P33" s="6"/>
      <c r="Q33" s="6"/>
      <c r="R33" s="6"/>
      <c r="S33" s="6"/>
      <c r="T33" s="6"/>
      <c r="U33" s="6"/>
      <c r="V33" s="6"/>
      <c r="W33" s="6"/>
      <c r="X33" s="6"/>
      <c r="Y33" s="6"/>
      <c r="Z33" s="6"/>
      <c r="AA33" s="6"/>
    </row>
    <row r="34" spans="1:27" ht="14.25">
      <c r="A34" s="6"/>
      <c r="B34" s="6"/>
      <c r="C34" s="6"/>
      <c r="D34" s="6"/>
      <c r="E34" s="6"/>
      <c r="F34" s="6"/>
      <c r="G34" s="6"/>
      <c r="H34" s="6"/>
      <c r="I34" s="6"/>
      <c r="J34" s="6"/>
      <c r="K34" s="6"/>
      <c r="L34" s="6"/>
      <c r="M34" s="6"/>
      <c r="N34" s="6"/>
      <c r="O34" s="6"/>
      <c r="P34" s="6"/>
      <c r="Q34" s="6"/>
      <c r="R34" s="6"/>
      <c r="S34" s="6"/>
      <c r="T34" s="6"/>
      <c r="U34" s="6"/>
      <c r="V34" s="6"/>
      <c r="W34" s="6"/>
      <c r="X34" s="6"/>
      <c r="Y34" s="6"/>
      <c r="Z34" s="6"/>
      <c r="AA34" s="6"/>
    </row>
    <row r="35" spans="1:27" ht="14.25">
      <c r="A35" s="6"/>
      <c r="B35" s="6"/>
      <c r="C35" s="6"/>
      <c r="D35" s="6"/>
      <c r="E35" s="6"/>
      <c r="F35" s="6"/>
      <c r="G35" s="6"/>
      <c r="H35" s="6"/>
      <c r="I35" s="6"/>
      <c r="J35" s="6"/>
      <c r="K35" s="6"/>
      <c r="L35" s="6"/>
      <c r="M35" s="6"/>
      <c r="N35" s="6"/>
      <c r="O35" s="6"/>
      <c r="P35" s="6"/>
      <c r="Q35" s="6"/>
      <c r="R35" s="6"/>
      <c r="S35" s="6"/>
      <c r="T35" s="6"/>
      <c r="U35" s="6"/>
      <c r="V35" s="6"/>
      <c r="W35" s="6"/>
      <c r="X35" s="6"/>
      <c r="Y35" s="6"/>
      <c r="Z35" s="6"/>
      <c r="AA35" s="6"/>
    </row>
    <row r="36" spans="1:27" ht="14.25">
      <c r="A36" s="6"/>
      <c r="B36" s="6"/>
      <c r="C36" s="6"/>
      <c r="D36" s="6"/>
      <c r="E36" s="6"/>
      <c r="F36" s="6"/>
      <c r="G36" s="6"/>
      <c r="H36" s="6"/>
      <c r="I36" s="6"/>
      <c r="J36" s="6"/>
      <c r="K36" s="6"/>
      <c r="L36" s="6"/>
      <c r="M36" s="6"/>
      <c r="N36" s="6"/>
      <c r="O36" s="6"/>
      <c r="P36" s="6"/>
      <c r="Q36" s="6"/>
      <c r="R36" s="6"/>
      <c r="S36" s="6"/>
      <c r="T36" s="6"/>
      <c r="U36" s="6"/>
      <c r="V36" s="6"/>
      <c r="W36" s="6"/>
      <c r="X36" s="6"/>
      <c r="Y36" s="6"/>
      <c r="Z36" s="6"/>
      <c r="AA36" s="6"/>
    </row>
    <row r="37" spans="1:27" ht="14.25">
      <c r="A37" s="6"/>
      <c r="B37" s="6"/>
      <c r="C37" s="6"/>
      <c r="D37" s="6"/>
      <c r="E37" s="6"/>
      <c r="F37" s="6"/>
      <c r="G37" s="6"/>
      <c r="H37" s="6"/>
      <c r="I37" s="6"/>
      <c r="J37" s="6"/>
      <c r="K37" s="6"/>
      <c r="L37" s="6"/>
      <c r="M37" s="6"/>
      <c r="N37" s="6"/>
      <c r="O37" s="6"/>
      <c r="P37" s="6"/>
      <c r="Q37" s="6"/>
      <c r="R37" s="6"/>
      <c r="S37" s="6"/>
      <c r="T37" s="6"/>
      <c r="U37" s="6"/>
      <c r="V37" s="6"/>
      <c r="W37" s="6"/>
      <c r="X37" s="6"/>
      <c r="Y37" s="6"/>
      <c r="Z37" s="6"/>
      <c r="AA37" s="6"/>
    </row>
    <row r="38" spans="1:27" ht="14.25">
      <c r="A38" s="6"/>
      <c r="B38" s="6"/>
      <c r="C38" s="6"/>
      <c r="D38" s="6"/>
      <c r="E38" s="6"/>
      <c r="F38" s="6"/>
      <c r="G38" s="6"/>
      <c r="H38" s="6"/>
      <c r="I38" s="6"/>
      <c r="J38" s="6"/>
      <c r="K38" s="6"/>
      <c r="L38" s="6"/>
      <c r="M38" s="6"/>
      <c r="N38" s="6"/>
      <c r="O38" s="6"/>
      <c r="P38" s="6"/>
      <c r="Q38" s="6"/>
      <c r="R38" s="6"/>
      <c r="S38" s="6"/>
      <c r="T38" s="6"/>
      <c r="U38" s="6"/>
      <c r="V38" s="6"/>
      <c r="W38" s="6"/>
      <c r="X38" s="6"/>
      <c r="Y38" s="6"/>
      <c r="Z38" s="6"/>
      <c r="AA38" s="6"/>
    </row>
    <row r="39" spans="1:27" ht="14.25">
      <c r="A39" s="6"/>
      <c r="B39" s="6"/>
      <c r="C39" s="6"/>
      <c r="D39" s="6"/>
      <c r="E39" s="6"/>
      <c r="F39" s="6"/>
      <c r="G39" s="6"/>
      <c r="H39" s="6"/>
      <c r="I39" s="6"/>
      <c r="J39" s="6"/>
      <c r="K39" s="6"/>
      <c r="L39" s="6"/>
      <c r="M39" s="6"/>
      <c r="N39" s="6"/>
      <c r="O39" s="6"/>
      <c r="P39" s="6"/>
      <c r="Q39" s="6"/>
      <c r="R39" s="6"/>
      <c r="S39" s="6"/>
      <c r="T39" s="6"/>
      <c r="U39" s="6"/>
      <c r="V39" s="6"/>
      <c r="W39" s="6"/>
      <c r="X39" s="6"/>
      <c r="Y39" s="6"/>
      <c r="Z39" s="6"/>
      <c r="AA39" s="6"/>
    </row>
    <row r="40" spans="1:27" ht="14.25">
      <c r="A40" s="6"/>
      <c r="B40" s="6"/>
      <c r="C40" s="6"/>
      <c r="D40" s="6"/>
      <c r="E40" s="6"/>
      <c r="F40" s="6"/>
      <c r="G40" s="6"/>
      <c r="H40" s="6"/>
      <c r="I40" s="6"/>
      <c r="J40" s="6"/>
      <c r="K40" s="6"/>
      <c r="L40" s="6"/>
      <c r="M40" s="6"/>
      <c r="N40" s="6"/>
      <c r="O40" s="6"/>
      <c r="P40" s="6"/>
      <c r="Q40" s="6"/>
      <c r="R40" s="6"/>
      <c r="S40" s="6"/>
      <c r="T40" s="6"/>
      <c r="U40" s="6"/>
      <c r="V40" s="6"/>
      <c r="W40" s="6"/>
      <c r="X40" s="6"/>
      <c r="Y40" s="6"/>
      <c r="Z40" s="6"/>
      <c r="AA40" s="6"/>
    </row>
    <row r="41" spans="1:27" ht="14.25">
      <c r="A41" s="6"/>
      <c r="B41" s="6"/>
      <c r="C41" s="6"/>
      <c r="D41" s="6"/>
      <c r="E41" s="6"/>
      <c r="F41" s="6"/>
      <c r="G41" s="6"/>
      <c r="H41" s="6"/>
      <c r="I41" s="6"/>
      <c r="J41" s="6"/>
      <c r="K41" s="6"/>
      <c r="L41" s="6"/>
      <c r="M41" s="6"/>
      <c r="N41" s="6"/>
      <c r="O41" s="6"/>
      <c r="P41" s="6"/>
      <c r="Q41" s="6"/>
      <c r="R41" s="6"/>
      <c r="S41" s="6"/>
      <c r="T41" s="6"/>
      <c r="U41" s="6"/>
      <c r="V41" s="6"/>
      <c r="W41" s="6"/>
      <c r="X41" s="6"/>
      <c r="Y41" s="6"/>
      <c r="Z41" s="6"/>
      <c r="AA41" s="6"/>
    </row>
    <row r="42" spans="1:27" ht="14.25">
      <c r="A42" s="6"/>
      <c r="B42" s="6"/>
      <c r="C42" s="6"/>
      <c r="D42" s="6"/>
      <c r="E42" s="6"/>
      <c r="F42" s="6"/>
      <c r="G42" s="6"/>
      <c r="H42" s="6"/>
      <c r="I42" s="6"/>
      <c r="J42" s="6"/>
      <c r="K42" s="6"/>
      <c r="L42" s="6"/>
      <c r="M42" s="6"/>
      <c r="N42" s="6"/>
      <c r="O42" s="6"/>
      <c r="P42" s="6"/>
      <c r="Q42" s="6"/>
      <c r="R42" s="6"/>
      <c r="S42" s="6"/>
      <c r="T42" s="6"/>
      <c r="U42" s="6"/>
      <c r="V42" s="6"/>
      <c r="W42" s="6"/>
      <c r="X42" s="6"/>
      <c r="Y42" s="6"/>
      <c r="Z42" s="6"/>
      <c r="AA42" s="6"/>
    </row>
    <row r="43" spans="1:27" ht="14.25">
      <c r="A43" s="6"/>
      <c r="B43" s="6"/>
      <c r="C43" s="6"/>
      <c r="D43" s="6"/>
      <c r="E43" s="6"/>
      <c r="F43" s="6"/>
      <c r="G43" s="6"/>
      <c r="H43" s="6"/>
      <c r="I43" s="6"/>
      <c r="J43" s="6"/>
      <c r="K43" s="6"/>
      <c r="L43" s="6"/>
      <c r="M43" s="6"/>
      <c r="N43" s="6"/>
      <c r="O43" s="6"/>
      <c r="P43" s="6"/>
      <c r="Q43" s="6"/>
      <c r="R43" s="6"/>
      <c r="S43" s="6"/>
      <c r="T43" s="6"/>
      <c r="U43" s="6"/>
      <c r="V43" s="6"/>
      <c r="W43" s="6"/>
      <c r="X43" s="6"/>
      <c r="Y43" s="6"/>
      <c r="Z43" s="6"/>
      <c r="AA43" s="6"/>
    </row>
    <row r="44" spans="1:27" ht="14.25">
      <c r="A44" s="6"/>
      <c r="B44" s="6"/>
      <c r="C44" s="6"/>
      <c r="D44" s="6"/>
      <c r="E44" s="6"/>
      <c r="F44" s="6"/>
      <c r="G44" s="6"/>
      <c r="H44" s="6"/>
      <c r="I44" s="6"/>
      <c r="J44" s="6"/>
      <c r="K44" s="6"/>
      <c r="L44" s="6"/>
      <c r="M44" s="6"/>
      <c r="N44" s="6"/>
      <c r="O44" s="6"/>
      <c r="P44" s="6"/>
      <c r="Q44" s="6"/>
      <c r="R44" s="6"/>
      <c r="S44" s="6"/>
      <c r="T44" s="6"/>
      <c r="U44" s="6"/>
      <c r="V44" s="6"/>
      <c r="W44" s="6"/>
      <c r="X44" s="6"/>
      <c r="Y44" s="6"/>
      <c r="Z44" s="6"/>
      <c r="AA44" s="6"/>
    </row>
    <row r="45" spans="1:27" ht="14.25">
      <c r="A45" s="6"/>
      <c r="B45" s="6"/>
      <c r="C45" s="6"/>
      <c r="D45" s="6"/>
      <c r="E45" s="6"/>
      <c r="F45" s="6"/>
      <c r="G45" s="6"/>
      <c r="H45" s="6"/>
      <c r="I45" s="6"/>
      <c r="J45" s="6"/>
      <c r="K45" s="6"/>
      <c r="L45" s="6"/>
      <c r="M45" s="6"/>
      <c r="N45" s="6"/>
      <c r="O45" s="6"/>
      <c r="P45" s="6"/>
      <c r="Q45" s="6"/>
      <c r="R45" s="6"/>
      <c r="S45" s="6"/>
      <c r="T45" s="6"/>
      <c r="U45" s="6"/>
      <c r="V45" s="6"/>
      <c r="W45" s="6"/>
      <c r="X45" s="6"/>
      <c r="Y45" s="6"/>
      <c r="Z45" s="6"/>
      <c r="AA45" s="6"/>
    </row>
    <row r="46" spans="1:27" ht="14.25">
      <c r="A46" s="6"/>
      <c r="B46" s="6"/>
      <c r="C46" s="6"/>
      <c r="D46" s="6"/>
      <c r="E46" s="6"/>
      <c r="F46" s="6"/>
      <c r="G46" s="6"/>
      <c r="H46" s="6"/>
      <c r="I46" s="6"/>
      <c r="J46" s="6"/>
      <c r="K46" s="6"/>
      <c r="L46" s="6"/>
      <c r="M46" s="6"/>
      <c r="N46" s="6"/>
      <c r="O46" s="6"/>
      <c r="P46" s="6"/>
      <c r="Q46" s="6"/>
      <c r="R46" s="6"/>
      <c r="S46" s="6"/>
      <c r="T46" s="6"/>
      <c r="U46" s="6"/>
      <c r="V46" s="6"/>
      <c r="W46" s="6"/>
      <c r="X46" s="6"/>
      <c r="Y46" s="6"/>
      <c r="Z46" s="6"/>
      <c r="AA46" s="6"/>
    </row>
    <row r="47" spans="1:27" ht="14.25">
      <c r="A47" s="6"/>
      <c r="B47" s="6"/>
      <c r="C47" s="6"/>
      <c r="D47" s="6"/>
      <c r="E47" s="6"/>
      <c r="F47" s="6"/>
      <c r="G47" s="6"/>
      <c r="H47" s="6"/>
      <c r="I47" s="6"/>
      <c r="J47" s="6"/>
      <c r="K47" s="6"/>
      <c r="L47" s="6"/>
      <c r="M47" s="6"/>
      <c r="N47" s="6"/>
      <c r="O47" s="6"/>
      <c r="P47" s="6"/>
      <c r="Q47" s="6"/>
      <c r="R47" s="6"/>
      <c r="S47" s="6"/>
      <c r="T47" s="6"/>
      <c r="U47" s="6"/>
      <c r="V47" s="6"/>
      <c r="W47" s="6"/>
      <c r="X47" s="6"/>
      <c r="Y47" s="6"/>
      <c r="Z47" s="6"/>
      <c r="AA47" s="6"/>
    </row>
    <row r="48" spans="1:27" ht="14.25">
      <c r="A48" s="6"/>
      <c r="B48" s="6"/>
      <c r="C48" s="6"/>
      <c r="D48" s="6"/>
      <c r="E48" s="6"/>
      <c r="F48" s="6"/>
      <c r="G48" s="6"/>
      <c r="H48" s="6"/>
      <c r="I48" s="6"/>
      <c r="J48" s="6"/>
      <c r="K48" s="6"/>
      <c r="L48" s="6"/>
      <c r="M48" s="6"/>
      <c r="N48" s="6"/>
      <c r="O48" s="6"/>
      <c r="P48" s="6"/>
      <c r="Q48" s="6"/>
      <c r="R48" s="6"/>
      <c r="S48" s="6"/>
      <c r="T48" s="6"/>
      <c r="U48" s="6"/>
      <c r="V48" s="6"/>
      <c r="W48" s="6"/>
      <c r="X48" s="6"/>
      <c r="Y48" s="6"/>
      <c r="Z48" s="6"/>
      <c r="AA48" s="6"/>
    </row>
    <row r="49" spans="1:27" ht="14.25">
      <c r="A49" s="6"/>
      <c r="B49" s="6"/>
      <c r="C49" s="6"/>
      <c r="D49" s="6"/>
      <c r="E49" s="6"/>
      <c r="F49" s="6"/>
      <c r="G49" s="6"/>
      <c r="H49" s="6"/>
      <c r="I49" s="6"/>
      <c r="J49" s="6"/>
      <c r="K49" s="6"/>
      <c r="L49" s="6"/>
      <c r="M49" s="6"/>
      <c r="N49" s="6"/>
      <c r="O49" s="6"/>
      <c r="P49" s="6"/>
      <c r="Q49" s="6"/>
      <c r="R49" s="6"/>
      <c r="S49" s="6"/>
      <c r="T49" s="6"/>
      <c r="U49" s="6"/>
      <c r="V49" s="6"/>
      <c r="W49" s="6"/>
      <c r="X49" s="6"/>
      <c r="Y49" s="6"/>
      <c r="Z49" s="6"/>
      <c r="AA49" s="6"/>
    </row>
    <row r="50" spans="1:27" ht="14.25">
      <c r="A50" s="6"/>
      <c r="B50" s="6"/>
      <c r="C50" s="6"/>
      <c r="D50" s="6"/>
      <c r="E50" s="6"/>
      <c r="F50" s="6"/>
      <c r="G50" s="6"/>
      <c r="H50" s="6"/>
      <c r="I50" s="6"/>
      <c r="J50" s="6"/>
      <c r="K50" s="6"/>
      <c r="L50" s="6"/>
      <c r="M50" s="6"/>
      <c r="N50" s="6"/>
      <c r="O50" s="6"/>
      <c r="P50" s="6"/>
      <c r="Q50" s="6"/>
      <c r="R50" s="6"/>
      <c r="S50" s="6"/>
      <c r="T50" s="6"/>
      <c r="U50" s="6"/>
      <c r="V50" s="6"/>
      <c r="W50" s="6"/>
      <c r="X50" s="6"/>
      <c r="Y50" s="6"/>
      <c r="Z50" s="6"/>
      <c r="AA50" s="6"/>
    </row>
    <row r="51" spans="1:27" ht="14.25">
      <c r="A51" s="6"/>
      <c r="B51" s="6"/>
      <c r="C51" s="6"/>
      <c r="D51" s="6"/>
      <c r="E51" s="6"/>
      <c r="F51" s="6"/>
      <c r="G51" s="6"/>
      <c r="H51" s="6"/>
      <c r="I51" s="6"/>
      <c r="J51" s="6"/>
      <c r="K51" s="6"/>
      <c r="L51" s="6"/>
      <c r="M51" s="6"/>
      <c r="N51" s="6"/>
      <c r="O51" s="6"/>
      <c r="P51" s="6"/>
      <c r="Q51" s="6"/>
      <c r="R51" s="6"/>
      <c r="S51" s="6"/>
      <c r="T51" s="6"/>
      <c r="U51" s="6"/>
      <c r="V51" s="6"/>
      <c r="W51" s="6"/>
      <c r="X51" s="6"/>
      <c r="Y51" s="6"/>
      <c r="Z51" s="6"/>
      <c r="AA51" s="6"/>
    </row>
    <row r="52" spans="1:27" ht="14.25">
      <c r="A52" s="6"/>
      <c r="B52" s="6"/>
      <c r="C52" s="6"/>
      <c r="D52" s="6"/>
      <c r="E52" s="6"/>
      <c r="F52" s="6"/>
      <c r="G52" s="6"/>
      <c r="H52" s="6"/>
      <c r="I52" s="6"/>
      <c r="J52" s="6"/>
      <c r="K52" s="6"/>
      <c r="L52" s="6"/>
      <c r="M52" s="6"/>
      <c r="N52" s="6"/>
      <c r="O52" s="6"/>
      <c r="P52" s="6"/>
      <c r="Q52" s="6"/>
      <c r="R52" s="6"/>
      <c r="S52" s="6"/>
      <c r="T52" s="6"/>
      <c r="U52" s="6"/>
      <c r="V52" s="6"/>
      <c r="W52" s="6"/>
      <c r="X52" s="6"/>
      <c r="Y52" s="6"/>
      <c r="Z52" s="6"/>
      <c r="AA52" s="6"/>
    </row>
    <row r="53" spans="1:27" ht="14.25">
      <c r="A53" s="6"/>
      <c r="B53" s="6"/>
      <c r="C53" s="6"/>
      <c r="D53" s="6"/>
      <c r="E53" s="6"/>
      <c r="F53" s="6"/>
      <c r="G53" s="6"/>
      <c r="H53" s="6"/>
      <c r="I53" s="6"/>
      <c r="J53" s="6"/>
      <c r="K53" s="6"/>
      <c r="L53" s="6"/>
      <c r="M53" s="6"/>
      <c r="N53" s="6"/>
      <c r="O53" s="6"/>
      <c r="P53" s="6"/>
      <c r="Q53" s="6"/>
      <c r="R53" s="6"/>
      <c r="S53" s="6"/>
      <c r="T53" s="6"/>
      <c r="U53" s="6"/>
      <c r="V53" s="6"/>
      <c r="W53" s="6"/>
      <c r="X53" s="6"/>
      <c r="Y53" s="6"/>
      <c r="Z53" s="6"/>
      <c r="AA53" s="6"/>
    </row>
    <row r="54" spans="1:27" ht="14.25">
      <c r="A54" s="6"/>
      <c r="B54" s="6"/>
      <c r="C54" s="6"/>
      <c r="D54" s="6"/>
      <c r="E54" s="6"/>
      <c r="F54" s="6"/>
      <c r="G54" s="6"/>
      <c r="H54" s="6"/>
      <c r="I54" s="6"/>
      <c r="J54" s="6"/>
      <c r="K54" s="6"/>
      <c r="L54" s="6"/>
      <c r="M54" s="6"/>
      <c r="N54" s="6"/>
      <c r="O54" s="6"/>
      <c r="P54" s="6"/>
      <c r="Q54" s="6"/>
      <c r="R54" s="6"/>
      <c r="S54" s="6"/>
      <c r="T54" s="6"/>
      <c r="U54" s="6"/>
      <c r="V54" s="6"/>
      <c r="W54" s="6"/>
      <c r="X54" s="6"/>
      <c r="Y54" s="6"/>
      <c r="Z54" s="6"/>
      <c r="AA54" s="6"/>
    </row>
    <row r="55" spans="1:27" ht="14.25">
      <c r="A55" s="6"/>
      <c r="B55" s="6"/>
      <c r="C55" s="6"/>
      <c r="D55" s="6"/>
      <c r="E55" s="6"/>
      <c r="F55" s="6"/>
      <c r="G55" s="6"/>
      <c r="H55" s="6"/>
      <c r="I55" s="6"/>
      <c r="J55" s="6"/>
      <c r="K55" s="6"/>
      <c r="L55" s="6"/>
      <c r="M55" s="6"/>
      <c r="N55" s="6"/>
      <c r="O55" s="6"/>
      <c r="P55" s="6"/>
      <c r="Q55" s="6"/>
      <c r="R55" s="6"/>
      <c r="S55" s="6"/>
      <c r="T55" s="6"/>
      <c r="U55" s="6"/>
      <c r="V55" s="6"/>
      <c r="W55" s="6"/>
      <c r="X55" s="6"/>
      <c r="Y55" s="6"/>
      <c r="Z55" s="6"/>
      <c r="AA55" s="6"/>
    </row>
    <row r="56" spans="1:27" ht="14.25">
      <c r="A56" s="6"/>
      <c r="B56" s="6"/>
      <c r="C56" s="6"/>
      <c r="D56" s="6"/>
      <c r="E56" s="6"/>
      <c r="F56" s="6"/>
      <c r="G56" s="6"/>
      <c r="H56" s="6"/>
      <c r="I56" s="6"/>
      <c r="J56" s="6"/>
      <c r="K56" s="6"/>
      <c r="L56" s="6"/>
      <c r="M56" s="6"/>
      <c r="N56" s="6"/>
      <c r="O56" s="6"/>
      <c r="P56" s="6"/>
      <c r="Q56" s="6"/>
      <c r="R56" s="6"/>
      <c r="S56" s="6"/>
      <c r="T56" s="6"/>
      <c r="U56" s="6"/>
      <c r="V56" s="6"/>
      <c r="W56" s="6"/>
      <c r="X56" s="6"/>
      <c r="Y56" s="6"/>
      <c r="Z56" s="6"/>
      <c r="AA56" s="6"/>
    </row>
    <row r="57" spans="1:27" ht="14.25">
      <c r="A57" s="6"/>
      <c r="B57" s="6"/>
      <c r="C57" s="6"/>
      <c r="D57" s="6"/>
      <c r="E57" s="6"/>
      <c r="F57" s="6"/>
      <c r="G57" s="6"/>
      <c r="H57" s="6"/>
      <c r="I57" s="6"/>
      <c r="J57" s="6"/>
      <c r="K57" s="6"/>
      <c r="L57" s="6"/>
      <c r="M57" s="6"/>
      <c r="N57" s="6"/>
      <c r="O57" s="6"/>
      <c r="P57" s="6"/>
      <c r="Q57" s="6"/>
      <c r="R57" s="6"/>
      <c r="S57" s="6"/>
      <c r="T57" s="6"/>
      <c r="U57" s="6"/>
      <c r="V57" s="6"/>
      <c r="W57" s="6"/>
      <c r="X57" s="6"/>
      <c r="Y57" s="6"/>
      <c r="Z57" s="6"/>
      <c r="AA57" s="6"/>
    </row>
    <row r="58" spans="1:27" ht="14.25">
      <c r="A58" s="6"/>
      <c r="B58" s="6"/>
      <c r="C58" s="6"/>
      <c r="D58" s="6"/>
      <c r="E58" s="6"/>
      <c r="F58" s="6"/>
      <c r="G58" s="6"/>
      <c r="H58" s="6"/>
      <c r="I58" s="6"/>
      <c r="J58" s="6"/>
      <c r="K58" s="6"/>
      <c r="L58" s="6"/>
      <c r="M58" s="6"/>
      <c r="N58" s="6"/>
      <c r="O58" s="6"/>
      <c r="P58" s="6"/>
      <c r="Q58" s="6"/>
      <c r="R58" s="6"/>
      <c r="S58" s="6"/>
      <c r="T58" s="6"/>
      <c r="U58" s="6"/>
      <c r="V58" s="6"/>
      <c r="W58" s="6"/>
      <c r="X58" s="6"/>
      <c r="Y58" s="6"/>
      <c r="Z58" s="6"/>
      <c r="AA58" s="6"/>
    </row>
    <row r="59" spans="1:27" ht="14.25">
      <c r="A59" s="6"/>
      <c r="B59" s="6"/>
      <c r="C59" s="6"/>
      <c r="D59" s="6"/>
      <c r="E59" s="6"/>
      <c r="F59" s="6"/>
      <c r="G59" s="6"/>
      <c r="H59" s="6"/>
      <c r="I59" s="6"/>
      <c r="J59" s="6"/>
      <c r="K59" s="6"/>
      <c r="L59" s="6"/>
      <c r="M59" s="6"/>
      <c r="N59" s="6"/>
      <c r="O59" s="6"/>
      <c r="P59" s="6"/>
      <c r="Q59" s="6"/>
      <c r="R59" s="6"/>
      <c r="S59" s="6"/>
      <c r="T59" s="6"/>
      <c r="U59" s="6"/>
      <c r="V59" s="6"/>
      <c r="W59" s="6"/>
      <c r="X59" s="6"/>
      <c r="Y59" s="6"/>
      <c r="Z59" s="6"/>
      <c r="AA59" s="6"/>
    </row>
    <row r="60" spans="1:27" ht="14.25">
      <c r="A60" s="6"/>
      <c r="B60" s="6"/>
      <c r="C60" s="6"/>
      <c r="D60" s="6"/>
      <c r="E60" s="6"/>
      <c r="F60" s="6"/>
      <c r="G60" s="6"/>
      <c r="H60" s="6"/>
      <c r="I60" s="6"/>
      <c r="J60" s="6"/>
      <c r="K60" s="6"/>
      <c r="L60" s="6"/>
      <c r="M60" s="6"/>
      <c r="N60" s="6"/>
      <c r="O60" s="6"/>
      <c r="P60" s="6"/>
      <c r="Q60" s="6"/>
      <c r="R60" s="6"/>
      <c r="S60" s="6"/>
      <c r="T60" s="6"/>
      <c r="U60" s="6"/>
      <c r="V60" s="6"/>
      <c r="W60" s="6"/>
      <c r="X60" s="6"/>
      <c r="Y60" s="6"/>
      <c r="Z60" s="6"/>
      <c r="AA60" s="6"/>
    </row>
    <row r="61" spans="1:27" ht="14.25">
      <c r="A61" s="6"/>
      <c r="B61" s="6"/>
      <c r="C61" s="6"/>
      <c r="D61" s="6"/>
      <c r="E61" s="6"/>
      <c r="F61" s="6"/>
      <c r="G61" s="6"/>
      <c r="H61" s="6"/>
      <c r="I61" s="6"/>
      <c r="J61" s="6"/>
      <c r="K61" s="6"/>
      <c r="L61" s="6"/>
      <c r="M61" s="6"/>
      <c r="N61" s="6"/>
      <c r="O61" s="6"/>
      <c r="P61" s="6"/>
      <c r="Q61" s="6"/>
      <c r="R61" s="6"/>
      <c r="S61" s="6"/>
      <c r="T61" s="6"/>
      <c r="U61" s="6"/>
      <c r="V61" s="6"/>
      <c r="W61" s="6"/>
      <c r="X61" s="6"/>
      <c r="Y61" s="6"/>
      <c r="Z61" s="6"/>
      <c r="AA61" s="6"/>
    </row>
    <row r="62" spans="1:27" ht="14.25">
      <c r="A62" s="6"/>
      <c r="B62" s="6"/>
      <c r="C62" s="6"/>
      <c r="D62" s="6"/>
      <c r="E62" s="6"/>
      <c r="F62" s="6"/>
      <c r="G62" s="6"/>
      <c r="H62" s="6"/>
      <c r="I62" s="6"/>
      <c r="J62" s="6"/>
      <c r="K62" s="6"/>
      <c r="L62" s="6"/>
      <c r="M62" s="6"/>
      <c r="N62" s="6"/>
      <c r="O62" s="6"/>
      <c r="P62" s="6"/>
      <c r="Q62" s="6"/>
      <c r="R62" s="6"/>
      <c r="S62" s="6"/>
      <c r="T62" s="6"/>
      <c r="U62" s="6"/>
      <c r="V62" s="6"/>
      <c r="W62" s="6"/>
      <c r="X62" s="6"/>
      <c r="Y62" s="6"/>
      <c r="Z62" s="6"/>
      <c r="AA62" s="6"/>
    </row>
    <row r="63" spans="1:27" ht="14.25">
      <c r="A63" s="6"/>
      <c r="B63" s="6"/>
      <c r="C63" s="6"/>
      <c r="D63" s="6"/>
      <c r="E63" s="6"/>
      <c r="F63" s="6"/>
      <c r="G63" s="6"/>
      <c r="H63" s="6"/>
      <c r="I63" s="6"/>
      <c r="J63" s="6"/>
      <c r="K63" s="6"/>
      <c r="L63" s="6"/>
      <c r="M63" s="6"/>
      <c r="N63" s="6"/>
      <c r="O63" s="6"/>
      <c r="P63" s="6"/>
      <c r="Q63" s="6"/>
      <c r="R63" s="6"/>
      <c r="S63" s="6"/>
      <c r="T63" s="6"/>
      <c r="U63" s="6"/>
      <c r="V63" s="6"/>
      <c r="W63" s="6"/>
      <c r="X63" s="6"/>
      <c r="Y63" s="6"/>
      <c r="Z63" s="6"/>
      <c r="AA63" s="6"/>
    </row>
    <row r="64" spans="1:27" ht="14.25">
      <c r="A64" s="6"/>
      <c r="B64" s="6"/>
      <c r="C64" s="6"/>
      <c r="D64" s="6"/>
      <c r="E64" s="6"/>
      <c r="F64" s="6"/>
      <c r="G64" s="6"/>
      <c r="H64" s="6"/>
      <c r="I64" s="6"/>
      <c r="J64" s="6"/>
      <c r="K64" s="6"/>
      <c r="L64" s="6"/>
      <c r="M64" s="6"/>
      <c r="N64" s="6"/>
      <c r="O64" s="6"/>
      <c r="P64" s="6"/>
      <c r="Q64" s="6"/>
      <c r="R64" s="6"/>
      <c r="S64" s="6"/>
      <c r="T64" s="6"/>
      <c r="U64" s="6"/>
      <c r="V64" s="6"/>
      <c r="W64" s="6"/>
      <c r="X64" s="6"/>
      <c r="Y64" s="6"/>
      <c r="Z64" s="6"/>
      <c r="AA64" s="6"/>
    </row>
    <row r="65" spans="1:27" ht="14.25">
      <c r="A65" s="6"/>
      <c r="B65" s="6"/>
      <c r="C65" s="6"/>
      <c r="D65" s="6"/>
      <c r="E65" s="6"/>
      <c r="F65" s="6"/>
      <c r="G65" s="6"/>
      <c r="H65" s="6"/>
      <c r="I65" s="6"/>
      <c r="J65" s="6"/>
      <c r="K65" s="6"/>
      <c r="L65" s="6"/>
      <c r="M65" s="6"/>
      <c r="N65" s="6"/>
      <c r="O65" s="6"/>
      <c r="P65" s="6"/>
      <c r="Q65" s="6"/>
      <c r="R65" s="6"/>
      <c r="S65" s="6"/>
      <c r="T65" s="6"/>
      <c r="U65" s="6"/>
      <c r="V65" s="6"/>
      <c r="W65" s="6"/>
      <c r="X65" s="6"/>
      <c r="Y65" s="6"/>
      <c r="Z65" s="6"/>
      <c r="AA65" s="6"/>
    </row>
    <row r="66" spans="1:27" ht="14.25">
      <c r="A66" s="6"/>
      <c r="B66" s="6"/>
      <c r="C66" s="6"/>
      <c r="D66" s="6"/>
      <c r="E66" s="6"/>
      <c r="F66" s="6"/>
      <c r="G66" s="6"/>
      <c r="H66" s="6"/>
      <c r="I66" s="6"/>
      <c r="J66" s="6"/>
      <c r="K66" s="6"/>
      <c r="L66" s="6"/>
      <c r="M66" s="6"/>
      <c r="N66" s="6"/>
      <c r="O66" s="6"/>
      <c r="P66" s="6"/>
      <c r="Q66" s="6"/>
      <c r="R66" s="6"/>
      <c r="S66" s="6"/>
      <c r="T66" s="6"/>
      <c r="U66" s="6"/>
      <c r="V66" s="6"/>
      <c r="W66" s="6"/>
      <c r="X66" s="6"/>
      <c r="Y66" s="6"/>
      <c r="Z66" s="6"/>
      <c r="AA66" s="6"/>
    </row>
    <row r="67" spans="1:27" ht="14.25">
      <c r="A67" s="6"/>
      <c r="B67" s="6"/>
      <c r="C67" s="6"/>
      <c r="D67" s="6"/>
      <c r="E67" s="6"/>
      <c r="F67" s="6"/>
      <c r="G67" s="6"/>
      <c r="H67" s="6"/>
      <c r="I67" s="6"/>
      <c r="J67" s="6"/>
      <c r="K67" s="6"/>
      <c r="L67" s="6"/>
      <c r="M67" s="6"/>
      <c r="N67" s="6"/>
      <c r="O67" s="6"/>
      <c r="P67" s="6"/>
      <c r="Q67" s="6"/>
      <c r="R67" s="6"/>
      <c r="S67" s="6"/>
      <c r="T67" s="6"/>
      <c r="U67" s="6"/>
      <c r="V67" s="6"/>
      <c r="W67" s="6"/>
      <c r="X67" s="6"/>
      <c r="Y67" s="6"/>
      <c r="Z67" s="6"/>
      <c r="AA67" s="6"/>
    </row>
    <row r="68" spans="1:27" ht="14.25">
      <c r="A68" s="6"/>
      <c r="B68" s="6"/>
      <c r="C68" s="6"/>
      <c r="D68" s="6"/>
      <c r="E68" s="6"/>
      <c r="F68" s="6"/>
      <c r="G68" s="6"/>
      <c r="H68" s="6"/>
      <c r="I68" s="6"/>
      <c r="J68" s="6"/>
      <c r="K68" s="6"/>
      <c r="L68" s="6"/>
      <c r="M68" s="6"/>
      <c r="N68" s="6"/>
      <c r="O68" s="6"/>
      <c r="P68" s="6"/>
      <c r="Q68" s="6"/>
      <c r="R68" s="6"/>
      <c r="S68" s="6"/>
      <c r="T68" s="6"/>
      <c r="U68" s="6"/>
      <c r="V68" s="6"/>
      <c r="W68" s="6"/>
      <c r="X68" s="6"/>
      <c r="Y68" s="6"/>
      <c r="Z68" s="6"/>
      <c r="AA68" s="6"/>
    </row>
    <row r="69" spans="1:27" ht="14.25">
      <c r="A69" s="6"/>
      <c r="B69" s="6"/>
      <c r="C69" s="6"/>
      <c r="D69" s="6"/>
      <c r="E69" s="6"/>
      <c r="F69" s="6"/>
      <c r="G69" s="6"/>
      <c r="H69" s="6"/>
      <c r="I69" s="6"/>
      <c r="J69" s="6"/>
      <c r="K69" s="6"/>
      <c r="L69" s="6"/>
      <c r="M69" s="6"/>
      <c r="N69" s="6"/>
      <c r="O69" s="6"/>
      <c r="P69" s="6"/>
      <c r="Q69" s="6"/>
      <c r="R69" s="6"/>
      <c r="S69" s="6"/>
      <c r="T69" s="6"/>
      <c r="U69" s="6"/>
      <c r="V69" s="6"/>
      <c r="W69" s="6"/>
      <c r="X69" s="6"/>
      <c r="Y69" s="6"/>
      <c r="Z69" s="6"/>
      <c r="AA69" s="6"/>
    </row>
    <row r="70" spans="1:27" ht="14.25">
      <c r="A70" s="6"/>
      <c r="B70" s="6"/>
      <c r="C70" s="6"/>
      <c r="D70" s="6"/>
      <c r="E70" s="6"/>
      <c r="F70" s="6"/>
      <c r="G70" s="6"/>
      <c r="H70" s="6"/>
      <c r="I70" s="6"/>
      <c r="J70" s="6"/>
      <c r="K70" s="6"/>
      <c r="L70" s="6"/>
      <c r="M70" s="6"/>
      <c r="N70" s="6"/>
      <c r="O70" s="6"/>
      <c r="P70" s="6"/>
      <c r="Q70" s="6"/>
      <c r="R70" s="6"/>
      <c r="S70" s="6"/>
      <c r="T70" s="6"/>
      <c r="U70" s="6"/>
      <c r="V70" s="6"/>
      <c r="W70" s="6"/>
      <c r="X70" s="6"/>
      <c r="Y70" s="6"/>
      <c r="Z70" s="6"/>
      <c r="AA70" s="6"/>
    </row>
    <row r="71" spans="1:27" ht="14.25">
      <c r="A71" s="6"/>
      <c r="B71" s="6"/>
      <c r="C71" s="6"/>
      <c r="D71" s="6"/>
      <c r="E71" s="6"/>
      <c r="F71" s="6"/>
      <c r="G71" s="6"/>
      <c r="H71" s="6"/>
      <c r="I71" s="6"/>
      <c r="J71" s="6"/>
      <c r="K71" s="6"/>
      <c r="L71" s="6"/>
      <c r="M71" s="6"/>
      <c r="N71" s="6"/>
      <c r="O71" s="6"/>
      <c r="P71" s="6"/>
      <c r="Q71" s="6"/>
      <c r="R71" s="6"/>
      <c r="S71" s="6"/>
      <c r="T71" s="6"/>
      <c r="U71" s="6"/>
      <c r="V71" s="6"/>
      <c r="W71" s="6"/>
      <c r="X71" s="6"/>
      <c r="Y71" s="6"/>
      <c r="Z71" s="6"/>
      <c r="AA71" s="6"/>
    </row>
    <row r="72" spans="1:27" ht="14.25">
      <c r="A72" s="6"/>
      <c r="B72" s="6"/>
      <c r="C72" s="6"/>
      <c r="D72" s="6"/>
      <c r="E72" s="6"/>
      <c r="F72" s="6"/>
      <c r="G72" s="6"/>
      <c r="H72" s="6"/>
      <c r="I72" s="6"/>
      <c r="J72" s="6"/>
      <c r="K72" s="6"/>
      <c r="L72" s="6"/>
      <c r="M72" s="6"/>
      <c r="N72" s="6"/>
      <c r="O72" s="6"/>
      <c r="P72" s="6"/>
      <c r="Q72" s="6"/>
      <c r="R72" s="6"/>
      <c r="S72" s="6"/>
      <c r="T72" s="6"/>
      <c r="U72" s="6"/>
      <c r="V72" s="6"/>
      <c r="W72" s="6"/>
      <c r="X72" s="6"/>
      <c r="Y72" s="6"/>
      <c r="Z72" s="6"/>
      <c r="AA72" s="6"/>
    </row>
    <row r="73" spans="1:27" ht="14.25">
      <c r="A73" s="6"/>
      <c r="B73" s="6"/>
      <c r="C73" s="6"/>
      <c r="D73" s="6"/>
      <c r="E73" s="6"/>
      <c r="F73" s="6"/>
      <c r="G73" s="6"/>
      <c r="H73" s="6"/>
      <c r="I73" s="6"/>
      <c r="J73" s="6"/>
      <c r="K73" s="6"/>
      <c r="L73" s="6"/>
      <c r="M73" s="6"/>
      <c r="N73" s="6"/>
      <c r="O73" s="6"/>
      <c r="P73" s="6"/>
      <c r="Q73" s="6"/>
      <c r="R73" s="6"/>
      <c r="S73" s="6"/>
      <c r="T73" s="6"/>
      <c r="U73" s="6"/>
      <c r="V73" s="6"/>
      <c r="W73" s="6"/>
      <c r="X73" s="6"/>
      <c r="Y73" s="6"/>
      <c r="Z73" s="6"/>
      <c r="AA73" s="6"/>
    </row>
    <row r="74" spans="1:27" ht="14.25">
      <c r="A74" s="6"/>
      <c r="B74" s="6"/>
      <c r="C74" s="6"/>
      <c r="D74" s="6"/>
      <c r="E74" s="6"/>
      <c r="F74" s="6"/>
      <c r="G74" s="6"/>
      <c r="H74" s="6"/>
      <c r="I74" s="6"/>
      <c r="J74" s="6"/>
      <c r="K74" s="6"/>
      <c r="L74" s="6"/>
      <c r="M74" s="6"/>
      <c r="N74" s="6"/>
      <c r="O74" s="6"/>
      <c r="P74" s="6"/>
      <c r="Q74" s="6"/>
      <c r="R74" s="6"/>
      <c r="S74" s="6"/>
      <c r="T74" s="6"/>
      <c r="U74" s="6"/>
      <c r="V74" s="6"/>
      <c r="W74" s="6"/>
      <c r="X74" s="6"/>
      <c r="Y74" s="6"/>
      <c r="Z74" s="6"/>
      <c r="AA74" s="6"/>
    </row>
    <row r="75" spans="1:27" ht="14.25">
      <c r="A75" s="6"/>
      <c r="B75" s="6"/>
      <c r="C75" s="6"/>
      <c r="D75" s="6"/>
      <c r="E75" s="6"/>
      <c r="F75" s="6"/>
      <c r="G75" s="6"/>
      <c r="H75" s="6"/>
      <c r="I75" s="6"/>
      <c r="J75" s="6"/>
      <c r="K75" s="6"/>
      <c r="L75" s="6"/>
      <c r="M75" s="6"/>
      <c r="N75" s="6"/>
      <c r="O75" s="6"/>
      <c r="P75" s="6"/>
      <c r="Q75" s="6"/>
      <c r="R75" s="6"/>
      <c r="S75" s="6"/>
      <c r="T75" s="6"/>
      <c r="U75" s="6"/>
      <c r="V75" s="6"/>
      <c r="W75" s="6"/>
      <c r="X75" s="6"/>
      <c r="Y75" s="6"/>
      <c r="Z75" s="6"/>
      <c r="AA75" s="6"/>
    </row>
    <row r="76" spans="1:27" ht="14.25">
      <c r="A76" s="6"/>
      <c r="B76" s="6"/>
      <c r="C76" s="6"/>
      <c r="D76" s="6"/>
      <c r="E76" s="6"/>
      <c r="F76" s="6"/>
      <c r="G76" s="6"/>
      <c r="H76" s="6"/>
      <c r="I76" s="6"/>
      <c r="J76" s="6"/>
      <c r="K76" s="6"/>
      <c r="L76" s="6"/>
      <c r="M76" s="6"/>
      <c r="N76" s="6"/>
      <c r="O76" s="6"/>
      <c r="P76" s="6"/>
      <c r="Q76" s="6"/>
      <c r="R76" s="6"/>
      <c r="S76" s="6"/>
      <c r="T76" s="6"/>
      <c r="U76" s="6"/>
      <c r="V76" s="6"/>
      <c r="W76" s="6"/>
      <c r="X76" s="6"/>
      <c r="Y76" s="6"/>
      <c r="Z76" s="6"/>
      <c r="AA76" s="6"/>
    </row>
    <row r="77" spans="1:27" ht="14.25">
      <c r="A77" s="6"/>
      <c r="B77" s="6"/>
      <c r="C77" s="6"/>
      <c r="D77" s="6"/>
      <c r="E77" s="6"/>
      <c r="F77" s="6"/>
      <c r="G77" s="6"/>
      <c r="H77" s="6"/>
      <c r="I77" s="6"/>
      <c r="J77" s="6"/>
      <c r="K77" s="6"/>
      <c r="L77" s="6"/>
      <c r="M77" s="6"/>
      <c r="N77" s="6"/>
      <c r="O77" s="6"/>
      <c r="P77" s="6"/>
      <c r="Q77" s="6"/>
      <c r="R77" s="6"/>
      <c r="S77" s="6"/>
      <c r="T77" s="6"/>
      <c r="U77" s="6"/>
      <c r="V77" s="6"/>
      <c r="W77" s="6"/>
      <c r="X77" s="6"/>
      <c r="Y77" s="6"/>
      <c r="Z77" s="6"/>
      <c r="AA77" s="6"/>
    </row>
    <row r="78" spans="1:27" ht="14.25">
      <c r="A78" s="6"/>
      <c r="B78" s="6"/>
      <c r="C78" s="6"/>
      <c r="D78" s="6"/>
      <c r="E78" s="6"/>
      <c r="F78" s="6"/>
      <c r="G78" s="6"/>
      <c r="H78" s="6"/>
      <c r="I78" s="6"/>
      <c r="J78" s="6"/>
      <c r="K78" s="6"/>
      <c r="L78" s="6"/>
      <c r="M78" s="6"/>
      <c r="N78" s="6"/>
      <c r="O78" s="6"/>
      <c r="P78" s="6"/>
      <c r="Q78" s="6"/>
      <c r="R78" s="6"/>
      <c r="S78" s="6"/>
      <c r="T78" s="6"/>
      <c r="U78" s="6"/>
      <c r="V78" s="6"/>
      <c r="W78" s="6"/>
      <c r="X78" s="6"/>
      <c r="Y78" s="6"/>
      <c r="Z78" s="6"/>
      <c r="AA78" s="6"/>
    </row>
    <row r="79" spans="1:27" ht="14.25">
      <c r="A79" s="6"/>
      <c r="B79" s="6"/>
      <c r="C79" s="6"/>
      <c r="D79" s="6"/>
      <c r="E79" s="6"/>
      <c r="F79" s="6"/>
      <c r="G79" s="6"/>
      <c r="H79" s="6"/>
      <c r="I79" s="6"/>
      <c r="J79" s="6"/>
      <c r="K79" s="6"/>
      <c r="L79" s="6"/>
      <c r="M79" s="6"/>
      <c r="N79" s="6"/>
      <c r="O79" s="6"/>
      <c r="P79" s="6"/>
      <c r="Q79" s="6"/>
      <c r="R79" s="6"/>
      <c r="S79" s="6"/>
      <c r="T79" s="6"/>
      <c r="U79" s="6"/>
      <c r="V79" s="6"/>
      <c r="W79" s="6"/>
      <c r="X79" s="6"/>
      <c r="Y79" s="6"/>
      <c r="Z79" s="6"/>
      <c r="AA79" s="6"/>
    </row>
    <row r="80" spans="1:27" ht="14.25">
      <c r="A80" s="6"/>
      <c r="B80" s="6"/>
      <c r="C80" s="6"/>
      <c r="D80" s="6"/>
      <c r="E80" s="6"/>
      <c r="F80" s="6"/>
      <c r="G80" s="6"/>
      <c r="H80" s="6"/>
      <c r="I80" s="6"/>
      <c r="J80" s="6"/>
      <c r="K80" s="6"/>
      <c r="L80" s="6"/>
      <c r="M80" s="6"/>
      <c r="N80" s="6"/>
      <c r="O80" s="6"/>
      <c r="P80" s="6"/>
      <c r="Q80" s="6"/>
      <c r="R80" s="6"/>
      <c r="S80" s="6"/>
      <c r="T80" s="6"/>
      <c r="U80" s="6"/>
      <c r="V80" s="6"/>
      <c r="W80" s="6"/>
      <c r="X80" s="6"/>
      <c r="Y80" s="6"/>
      <c r="Z80" s="6"/>
      <c r="AA80" s="6"/>
    </row>
    <row r="81" spans="1:27" ht="14.25">
      <c r="A81" s="6"/>
      <c r="B81" s="6"/>
      <c r="C81" s="6"/>
      <c r="D81" s="6"/>
      <c r="E81" s="6"/>
      <c r="F81" s="6"/>
      <c r="G81" s="6"/>
      <c r="H81" s="6"/>
      <c r="I81" s="6"/>
      <c r="J81" s="6"/>
      <c r="K81" s="6"/>
      <c r="L81" s="6"/>
      <c r="M81" s="6"/>
      <c r="N81" s="6"/>
      <c r="O81" s="6"/>
      <c r="P81" s="6"/>
      <c r="Q81" s="6"/>
      <c r="R81" s="6"/>
      <c r="S81" s="6"/>
      <c r="T81" s="6"/>
      <c r="U81" s="6"/>
      <c r="V81" s="6"/>
      <c r="W81" s="6"/>
      <c r="X81" s="6"/>
      <c r="Y81" s="6"/>
      <c r="Z81" s="6"/>
      <c r="AA81" s="6"/>
    </row>
    <row r="82" spans="1:27" ht="14.25">
      <c r="A82" s="6"/>
      <c r="B82" s="6"/>
      <c r="C82" s="6"/>
      <c r="D82" s="6"/>
      <c r="E82" s="6"/>
      <c r="F82" s="6"/>
      <c r="G82" s="6"/>
      <c r="H82" s="6"/>
      <c r="I82" s="6"/>
      <c r="J82" s="6"/>
      <c r="K82" s="6"/>
      <c r="L82" s="6"/>
      <c r="M82" s="6"/>
      <c r="N82" s="6"/>
      <c r="O82" s="6"/>
      <c r="P82" s="6"/>
      <c r="Q82" s="6"/>
      <c r="R82" s="6"/>
      <c r="S82" s="6"/>
      <c r="T82" s="6"/>
      <c r="U82" s="6"/>
      <c r="V82" s="6"/>
      <c r="W82" s="6"/>
      <c r="X82" s="6"/>
      <c r="Y82" s="6"/>
      <c r="Z82" s="6"/>
      <c r="AA82" s="6"/>
    </row>
    <row r="83" spans="1:27" ht="14.25">
      <c r="A83" s="6"/>
      <c r="B83" s="6"/>
      <c r="C83" s="6"/>
      <c r="D83" s="6"/>
      <c r="E83" s="6"/>
      <c r="F83" s="6"/>
      <c r="G83" s="6"/>
      <c r="H83" s="6"/>
      <c r="I83" s="6"/>
      <c r="J83" s="6"/>
      <c r="K83" s="6"/>
      <c r="L83" s="6"/>
      <c r="M83" s="6"/>
      <c r="N83" s="6"/>
      <c r="O83" s="6"/>
      <c r="P83" s="6"/>
      <c r="Q83" s="6"/>
      <c r="R83" s="6"/>
      <c r="S83" s="6"/>
      <c r="T83" s="6"/>
      <c r="U83" s="6"/>
      <c r="V83" s="6"/>
      <c r="W83" s="6"/>
      <c r="X83" s="6"/>
      <c r="Y83" s="6"/>
      <c r="Z83" s="6"/>
      <c r="AA83" s="6"/>
    </row>
    <row r="84" spans="1:27" ht="14.25">
      <c r="A84" s="6"/>
      <c r="B84" s="6"/>
      <c r="C84" s="6"/>
      <c r="D84" s="6"/>
      <c r="E84" s="6"/>
      <c r="F84" s="6"/>
      <c r="G84" s="6"/>
      <c r="H84" s="6"/>
      <c r="I84" s="6"/>
      <c r="J84" s="6"/>
      <c r="K84" s="6"/>
      <c r="L84" s="6"/>
      <c r="M84" s="6"/>
      <c r="N84" s="6"/>
      <c r="O84" s="6"/>
      <c r="P84" s="6"/>
      <c r="Q84" s="6"/>
      <c r="R84" s="6"/>
      <c r="S84" s="6"/>
      <c r="T84" s="6"/>
      <c r="U84" s="6"/>
      <c r="V84" s="6"/>
      <c r="W84" s="6"/>
      <c r="X84" s="6"/>
      <c r="Y84" s="6"/>
      <c r="Z84" s="6"/>
      <c r="AA84" s="6"/>
    </row>
    <row r="85" spans="1:27" ht="14.25">
      <c r="A85" s="6"/>
      <c r="B85" s="6"/>
      <c r="C85" s="6"/>
      <c r="D85" s="6"/>
      <c r="E85" s="6"/>
      <c r="F85" s="6"/>
      <c r="G85" s="6"/>
      <c r="H85" s="6"/>
      <c r="I85" s="6"/>
      <c r="J85" s="6"/>
      <c r="K85" s="6"/>
      <c r="L85" s="6"/>
      <c r="M85" s="6"/>
      <c r="N85" s="6"/>
      <c r="O85" s="6"/>
      <c r="P85" s="6"/>
      <c r="Q85" s="6"/>
      <c r="R85" s="6"/>
      <c r="S85" s="6"/>
      <c r="T85" s="6"/>
      <c r="U85" s="6"/>
      <c r="V85" s="6"/>
      <c r="W85" s="6"/>
      <c r="X85" s="6"/>
      <c r="Y85" s="6"/>
      <c r="Z85" s="6"/>
      <c r="AA85" s="6"/>
    </row>
    <row r="86" spans="1:27" ht="14.25">
      <c r="A86" s="6"/>
      <c r="B86" s="6"/>
      <c r="C86" s="6"/>
      <c r="D86" s="6"/>
      <c r="E86" s="6"/>
      <c r="F86" s="6"/>
      <c r="G86" s="6"/>
      <c r="H86" s="6"/>
      <c r="I86" s="6"/>
      <c r="J86" s="6"/>
      <c r="K86" s="6"/>
      <c r="L86" s="6"/>
      <c r="M86" s="6"/>
      <c r="N86" s="6"/>
      <c r="O86" s="6"/>
      <c r="P86" s="6"/>
      <c r="Q86" s="6"/>
      <c r="R86" s="6"/>
      <c r="S86" s="6"/>
      <c r="T86" s="6"/>
      <c r="U86" s="6"/>
      <c r="V86" s="6"/>
      <c r="W86" s="6"/>
      <c r="X86" s="6"/>
      <c r="Y86" s="6"/>
      <c r="Z86" s="6"/>
      <c r="AA86" s="6"/>
    </row>
    <row r="87" spans="1:27" ht="14.25">
      <c r="A87" s="6"/>
      <c r="B87" s="6"/>
      <c r="C87" s="6"/>
      <c r="D87" s="6"/>
      <c r="E87" s="6"/>
      <c r="F87" s="6"/>
      <c r="G87" s="6"/>
      <c r="H87" s="6"/>
      <c r="I87" s="6"/>
      <c r="J87" s="6"/>
      <c r="K87" s="6"/>
      <c r="L87" s="6"/>
      <c r="M87" s="6"/>
      <c r="N87" s="6"/>
      <c r="O87" s="6"/>
      <c r="P87" s="6"/>
      <c r="Q87" s="6"/>
      <c r="R87" s="6"/>
      <c r="S87" s="6"/>
      <c r="T87" s="6"/>
      <c r="U87" s="6"/>
      <c r="V87" s="6"/>
      <c r="W87" s="6"/>
      <c r="X87" s="6"/>
      <c r="Y87" s="6"/>
      <c r="Z87" s="6"/>
      <c r="AA87" s="6"/>
    </row>
    <row r="88" spans="1:27" ht="14.25">
      <c r="A88" s="6"/>
      <c r="B88" s="6"/>
      <c r="C88" s="6"/>
      <c r="D88" s="6"/>
      <c r="E88" s="6"/>
      <c r="F88" s="6"/>
      <c r="G88" s="6"/>
      <c r="H88" s="6"/>
      <c r="I88" s="6"/>
      <c r="J88" s="6"/>
      <c r="K88" s="6"/>
      <c r="L88" s="6"/>
      <c r="M88" s="6"/>
      <c r="N88" s="6"/>
      <c r="O88" s="6"/>
      <c r="P88" s="6"/>
      <c r="Q88" s="6"/>
      <c r="R88" s="6"/>
      <c r="S88" s="6"/>
      <c r="T88" s="6"/>
      <c r="U88" s="6"/>
      <c r="V88" s="6"/>
      <c r="W88" s="6"/>
      <c r="X88" s="6"/>
      <c r="Y88" s="6"/>
      <c r="Z88" s="6"/>
      <c r="AA88" s="6"/>
    </row>
    <row r="89" spans="1:27" ht="14.25">
      <c r="A89" s="6"/>
      <c r="B89" s="6"/>
      <c r="C89" s="6"/>
      <c r="D89" s="6"/>
      <c r="E89" s="6"/>
      <c r="F89" s="6"/>
      <c r="G89" s="6"/>
      <c r="H89" s="6"/>
      <c r="I89" s="6"/>
      <c r="J89" s="6"/>
      <c r="K89" s="6"/>
      <c r="L89" s="6"/>
      <c r="M89" s="6"/>
      <c r="N89" s="6"/>
      <c r="O89" s="6"/>
      <c r="P89" s="6"/>
      <c r="Q89" s="6"/>
      <c r="R89" s="6"/>
      <c r="S89" s="6"/>
      <c r="T89" s="6"/>
      <c r="U89" s="6"/>
      <c r="V89" s="6"/>
      <c r="W89" s="6"/>
      <c r="X89" s="6"/>
      <c r="Y89" s="6"/>
      <c r="Z89" s="6"/>
      <c r="AA89" s="6"/>
    </row>
    <row r="90" spans="1:27" ht="14.25">
      <c r="A90" s="6"/>
      <c r="B90" s="6"/>
      <c r="C90" s="6"/>
      <c r="D90" s="6"/>
      <c r="E90" s="6"/>
      <c r="F90" s="6"/>
      <c r="G90" s="6"/>
      <c r="H90" s="6"/>
      <c r="I90" s="6"/>
      <c r="J90" s="6"/>
      <c r="K90" s="6"/>
      <c r="L90" s="6"/>
      <c r="M90" s="6"/>
      <c r="N90" s="6"/>
      <c r="O90" s="6"/>
      <c r="P90" s="6"/>
      <c r="Q90" s="6"/>
      <c r="R90" s="6"/>
      <c r="S90" s="6"/>
      <c r="T90" s="6"/>
      <c r="U90" s="6"/>
      <c r="V90" s="6"/>
      <c r="W90" s="6"/>
      <c r="X90" s="6"/>
      <c r="Y90" s="6"/>
      <c r="Z90" s="6"/>
      <c r="AA90" s="6"/>
    </row>
    <row r="91" spans="1:27" ht="14.25">
      <c r="A91" s="6"/>
      <c r="B91" s="6"/>
      <c r="C91" s="6"/>
      <c r="D91" s="6"/>
      <c r="E91" s="6"/>
      <c r="F91" s="6"/>
      <c r="G91" s="6"/>
      <c r="H91" s="6"/>
      <c r="I91" s="6"/>
      <c r="J91" s="6"/>
      <c r="K91" s="6"/>
      <c r="L91" s="6"/>
      <c r="M91" s="6"/>
      <c r="N91" s="6"/>
      <c r="O91" s="6"/>
      <c r="P91" s="6"/>
      <c r="Q91" s="6"/>
      <c r="R91" s="6"/>
      <c r="S91" s="6"/>
      <c r="T91" s="6"/>
      <c r="U91" s="6"/>
      <c r="V91" s="6"/>
      <c r="W91" s="6"/>
      <c r="X91" s="6"/>
      <c r="Y91" s="6"/>
      <c r="Z91" s="6"/>
      <c r="AA91" s="6"/>
    </row>
    <row r="92" spans="1:27" ht="14.25">
      <c r="A92" s="6"/>
      <c r="B92" s="6"/>
      <c r="C92" s="6"/>
      <c r="D92" s="6"/>
      <c r="E92" s="6"/>
      <c r="F92" s="6"/>
      <c r="G92" s="6"/>
      <c r="H92" s="6"/>
      <c r="I92" s="6"/>
      <c r="J92" s="6"/>
      <c r="K92" s="6"/>
      <c r="L92" s="6"/>
      <c r="M92" s="6"/>
      <c r="N92" s="6"/>
      <c r="O92" s="6"/>
      <c r="P92" s="6"/>
      <c r="Q92" s="6"/>
      <c r="R92" s="6"/>
      <c r="S92" s="6"/>
      <c r="T92" s="6"/>
      <c r="U92" s="6"/>
      <c r="V92" s="6"/>
      <c r="W92" s="6"/>
      <c r="X92" s="6"/>
      <c r="Y92" s="6"/>
      <c r="Z92" s="6"/>
      <c r="AA92" s="6"/>
    </row>
    <row r="93" spans="1:27" ht="14.25">
      <c r="A93" s="6"/>
      <c r="B93" s="6"/>
      <c r="C93" s="6"/>
      <c r="D93" s="6"/>
      <c r="E93" s="6"/>
      <c r="F93" s="6"/>
      <c r="G93" s="6"/>
      <c r="H93" s="6"/>
      <c r="I93" s="6"/>
      <c r="J93" s="6"/>
      <c r="K93" s="6"/>
      <c r="L93" s="6"/>
      <c r="M93" s="6"/>
      <c r="N93" s="6"/>
      <c r="O93" s="6"/>
      <c r="P93" s="6"/>
      <c r="Q93" s="6"/>
      <c r="R93" s="6"/>
      <c r="S93" s="6"/>
      <c r="T93" s="6"/>
      <c r="U93" s="6"/>
      <c r="V93" s="6"/>
      <c r="W93" s="6"/>
      <c r="X93" s="6"/>
      <c r="Y93" s="6"/>
      <c r="Z93" s="6"/>
      <c r="AA93" s="6"/>
    </row>
    <row r="94" spans="1:27" ht="14.25">
      <c r="A94" s="6"/>
      <c r="B94" s="6"/>
      <c r="C94" s="6"/>
      <c r="D94" s="6"/>
      <c r="E94" s="6"/>
      <c r="F94" s="6"/>
      <c r="G94" s="6"/>
      <c r="H94" s="6"/>
      <c r="I94" s="6"/>
      <c r="J94" s="6"/>
      <c r="K94" s="6"/>
      <c r="L94" s="6"/>
      <c r="M94" s="6"/>
      <c r="N94" s="6"/>
      <c r="O94" s="6"/>
      <c r="P94" s="6"/>
      <c r="Q94" s="6"/>
      <c r="R94" s="6"/>
      <c r="S94" s="6"/>
      <c r="T94" s="6"/>
      <c r="U94" s="6"/>
      <c r="V94" s="6"/>
      <c r="W94" s="6"/>
      <c r="X94" s="6"/>
      <c r="Y94" s="6"/>
      <c r="Z94" s="6"/>
      <c r="AA94" s="6"/>
    </row>
    <row r="95" spans="1:27" ht="14.25">
      <c r="A95" s="6"/>
      <c r="B95" s="6"/>
      <c r="C95" s="6"/>
      <c r="D95" s="6"/>
      <c r="E95" s="6"/>
      <c r="F95" s="6"/>
      <c r="G95" s="6"/>
      <c r="H95" s="6"/>
      <c r="I95" s="6"/>
      <c r="J95" s="6"/>
      <c r="K95" s="6"/>
      <c r="L95" s="6"/>
      <c r="M95" s="6"/>
      <c r="N95" s="6"/>
      <c r="O95" s="6"/>
      <c r="P95" s="6"/>
      <c r="Q95" s="6"/>
      <c r="R95" s="6"/>
      <c r="S95" s="6"/>
      <c r="T95" s="6"/>
      <c r="U95" s="6"/>
      <c r="V95" s="6"/>
      <c r="W95" s="6"/>
      <c r="X95" s="6"/>
      <c r="Y95" s="6"/>
      <c r="Z95" s="6"/>
      <c r="AA95" s="6"/>
    </row>
    <row r="96" spans="1:27" ht="14.25">
      <c r="A96" s="6"/>
      <c r="B96" s="6"/>
      <c r="C96" s="6"/>
      <c r="D96" s="6"/>
      <c r="E96" s="6"/>
      <c r="F96" s="6"/>
      <c r="G96" s="6"/>
      <c r="H96" s="6"/>
      <c r="I96" s="6"/>
      <c r="J96" s="6"/>
      <c r="K96" s="6"/>
      <c r="L96" s="6"/>
      <c r="M96" s="6"/>
      <c r="N96" s="6"/>
      <c r="O96" s="6"/>
      <c r="P96" s="6"/>
      <c r="Q96" s="6"/>
      <c r="R96" s="6"/>
      <c r="S96" s="6"/>
      <c r="T96" s="6"/>
      <c r="U96" s="6"/>
      <c r="V96" s="6"/>
      <c r="W96" s="6"/>
      <c r="X96" s="6"/>
      <c r="Y96" s="6"/>
      <c r="Z96" s="6"/>
      <c r="AA96" s="6"/>
    </row>
    <row r="97" spans="1:27" ht="14.25">
      <c r="A97" s="6"/>
      <c r="B97" s="6"/>
      <c r="C97" s="6"/>
      <c r="D97" s="6"/>
      <c r="E97" s="6"/>
      <c r="F97" s="6"/>
      <c r="G97" s="6"/>
      <c r="H97" s="6"/>
      <c r="I97" s="6"/>
      <c r="J97" s="6"/>
      <c r="K97" s="6"/>
      <c r="L97" s="6"/>
      <c r="M97" s="6"/>
      <c r="N97" s="6"/>
      <c r="O97" s="6"/>
      <c r="P97" s="6"/>
      <c r="Q97" s="6"/>
      <c r="R97" s="6"/>
      <c r="S97" s="6"/>
      <c r="T97" s="6"/>
      <c r="U97" s="6"/>
      <c r="V97" s="6"/>
      <c r="W97" s="6"/>
      <c r="X97" s="6"/>
      <c r="Y97" s="6"/>
      <c r="Z97" s="6"/>
      <c r="AA97" s="6"/>
    </row>
    <row r="98" spans="1:27" ht="14.25">
      <c r="A98" s="6"/>
      <c r="B98" s="6"/>
      <c r="C98" s="6"/>
      <c r="D98" s="6"/>
      <c r="E98" s="6"/>
      <c r="F98" s="6"/>
      <c r="G98" s="6"/>
      <c r="H98" s="6"/>
      <c r="I98" s="6"/>
      <c r="J98" s="6"/>
      <c r="K98" s="6"/>
      <c r="L98" s="6"/>
      <c r="M98" s="6"/>
      <c r="N98" s="6"/>
      <c r="O98" s="6"/>
      <c r="P98" s="6"/>
      <c r="Q98" s="6"/>
      <c r="R98" s="6"/>
      <c r="S98" s="6"/>
      <c r="T98" s="6"/>
      <c r="U98" s="6"/>
      <c r="V98" s="6"/>
      <c r="W98" s="6"/>
      <c r="X98" s="6"/>
      <c r="Y98" s="6"/>
      <c r="Z98" s="6"/>
      <c r="AA98" s="6"/>
    </row>
    <row r="99" spans="1:27" ht="14.25">
      <c r="A99" s="6"/>
      <c r="B99" s="6"/>
      <c r="C99" s="6"/>
      <c r="D99" s="6"/>
      <c r="E99" s="6"/>
      <c r="F99" s="6"/>
      <c r="G99" s="6"/>
      <c r="H99" s="6"/>
      <c r="I99" s="6"/>
      <c r="J99" s="6"/>
      <c r="K99" s="6"/>
      <c r="L99" s="6"/>
      <c r="M99" s="6"/>
      <c r="N99" s="6"/>
      <c r="O99" s="6"/>
      <c r="P99" s="6"/>
      <c r="Q99" s="6"/>
      <c r="R99" s="6"/>
      <c r="S99" s="6"/>
      <c r="T99" s="6"/>
      <c r="U99" s="6"/>
      <c r="V99" s="6"/>
      <c r="W99" s="6"/>
      <c r="X99" s="6"/>
      <c r="Y99" s="6"/>
      <c r="Z99" s="6"/>
      <c r="AA99" s="6"/>
    </row>
    <row r="100" spans="1:27" ht="14.25">
      <c r="A100" s="6"/>
      <c r="B100" s="6"/>
      <c r="C100" s="6"/>
      <c r="D100" s="6"/>
      <c r="E100" s="6"/>
      <c r="F100" s="6"/>
      <c r="G100" s="6"/>
      <c r="H100" s="6"/>
      <c r="I100" s="6"/>
      <c r="J100" s="6"/>
      <c r="K100" s="6"/>
      <c r="L100" s="6"/>
      <c r="M100" s="6"/>
      <c r="N100" s="6"/>
      <c r="O100" s="6"/>
      <c r="P100" s="6"/>
      <c r="Q100" s="6"/>
      <c r="R100" s="6"/>
      <c r="S100" s="6"/>
      <c r="T100" s="6"/>
      <c r="U100" s="6"/>
      <c r="V100" s="6"/>
      <c r="W100" s="6"/>
      <c r="X100" s="6"/>
      <c r="Y100" s="6"/>
      <c r="Z100" s="6"/>
      <c r="AA100" s="6"/>
    </row>
    <row r="101" spans="1:27" ht="14.25">
      <c r="A101" s="6"/>
      <c r="B101" s="6"/>
      <c r="C101" s="6"/>
      <c r="D101" s="6"/>
      <c r="E101" s="6"/>
      <c r="F101" s="6"/>
      <c r="G101" s="6"/>
      <c r="H101" s="6"/>
      <c r="I101" s="6"/>
      <c r="J101" s="6"/>
      <c r="K101" s="6"/>
      <c r="L101" s="6"/>
      <c r="M101" s="6"/>
      <c r="N101" s="6"/>
      <c r="O101" s="6"/>
      <c r="P101" s="6"/>
      <c r="Q101" s="6"/>
      <c r="R101" s="6"/>
      <c r="S101" s="6"/>
      <c r="T101" s="6"/>
      <c r="U101" s="6"/>
      <c r="V101" s="6"/>
      <c r="W101" s="6"/>
      <c r="X101" s="6"/>
      <c r="Y101" s="6"/>
      <c r="Z101" s="6"/>
      <c r="AA101" s="6"/>
    </row>
    <row r="102" spans="1:27" ht="14.25">
      <c r="A102" s="6"/>
      <c r="B102" s="6"/>
      <c r="C102" s="6"/>
      <c r="D102" s="6"/>
      <c r="E102" s="6"/>
      <c r="F102" s="6"/>
      <c r="G102" s="6"/>
      <c r="H102" s="6"/>
      <c r="I102" s="6"/>
      <c r="J102" s="6"/>
      <c r="K102" s="6"/>
      <c r="L102" s="6"/>
      <c r="M102" s="6"/>
      <c r="N102" s="6"/>
      <c r="O102" s="6"/>
      <c r="P102" s="6"/>
      <c r="Q102" s="6"/>
      <c r="R102" s="6"/>
      <c r="S102" s="6"/>
      <c r="T102" s="6"/>
      <c r="U102" s="6"/>
      <c r="V102" s="6"/>
      <c r="W102" s="6"/>
      <c r="X102" s="6"/>
      <c r="Y102" s="6"/>
      <c r="Z102" s="6"/>
      <c r="AA102" s="6"/>
    </row>
    <row r="103" spans="1:27" ht="14.25">
      <c r="A103" s="6"/>
      <c r="B103" s="6"/>
      <c r="C103" s="6"/>
      <c r="D103" s="6"/>
      <c r="E103" s="6"/>
      <c r="F103" s="6"/>
      <c r="G103" s="6"/>
      <c r="H103" s="6"/>
      <c r="I103" s="6"/>
      <c r="J103" s="6"/>
      <c r="K103" s="6"/>
      <c r="L103" s="6"/>
      <c r="M103" s="6"/>
      <c r="N103" s="6"/>
      <c r="O103" s="6"/>
      <c r="P103" s="6"/>
      <c r="Q103" s="6"/>
      <c r="R103" s="6"/>
      <c r="S103" s="6"/>
      <c r="T103" s="6"/>
      <c r="U103" s="6"/>
      <c r="V103" s="6"/>
      <c r="W103" s="6"/>
      <c r="X103" s="6"/>
      <c r="Y103" s="6"/>
      <c r="Z103" s="6"/>
      <c r="AA103" s="6"/>
    </row>
    <row r="104" spans="1:27" ht="14.25">
      <c r="A104" s="6"/>
      <c r="B104" s="6"/>
      <c r="C104" s="6"/>
      <c r="D104" s="6"/>
      <c r="E104" s="6"/>
      <c r="F104" s="6"/>
      <c r="G104" s="6"/>
      <c r="H104" s="6"/>
      <c r="I104" s="6"/>
      <c r="J104" s="6"/>
      <c r="K104" s="6"/>
      <c r="L104" s="6"/>
      <c r="M104" s="6"/>
      <c r="N104" s="6"/>
      <c r="O104" s="6"/>
      <c r="P104" s="6"/>
      <c r="Q104" s="6"/>
      <c r="R104" s="6"/>
      <c r="S104" s="6"/>
      <c r="T104" s="6"/>
      <c r="U104" s="6"/>
      <c r="V104" s="6"/>
      <c r="W104" s="6"/>
      <c r="X104" s="6"/>
      <c r="Y104" s="6"/>
      <c r="Z104" s="6"/>
      <c r="AA104" s="6"/>
    </row>
    <row r="105" spans="1:27" ht="14.25">
      <c r="A105" s="6"/>
      <c r="B105" s="6"/>
      <c r="C105" s="6"/>
      <c r="D105" s="6"/>
      <c r="E105" s="6"/>
      <c r="F105" s="6"/>
      <c r="G105" s="6"/>
      <c r="H105" s="6"/>
      <c r="I105" s="6"/>
      <c r="J105" s="6"/>
      <c r="K105" s="6"/>
      <c r="L105" s="6"/>
      <c r="M105" s="6"/>
      <c r="N105" s="6"/>
      <c r="O105" s="6"/>
      <c r="P105" s="6"/>
      <c r="Q105" s="6"/>
      <c r="R105" s="6"/>
      <c r="S105" s="6"/>
      <c r="T105" s="6"/>
      <c r="U105" s="6"/>
      <c r="V105" s="6"/>
      <c r="W105" s="6"/>
      <c r="X105" s="6"/>
      <c r="Y105" s="6"/>
      <c r="Z105" s="6"/>
      <c r="AA105" s="6"/>
    </row>
    <row r="106" spans="1:27" ht="14.25">
      <c r="A106" s="6"/>
      <c r="B106" s="6"/>
      <c r="C106" s="6"/>
      <c r="D106" s="6"/>
      <c r="E106" s="6"/>
      <c r="F106" s="6"/>
      <c r="G106" s="6"/>
      <c r="H106" s="6"/>
      <c r="I106" s="6"/>
      <c r="J106" s="6"/>
      <c r="K106" s="6"/>
      <c r="L106" s="6"/>
      <c r="M106" s="6"/>
      <c r="N106" s="6"/>
      <c r="O106" s="6"/>
      <c r="P106" s="6"/>
      <c r="Q106" s="6"/>
      <c r="R106" s="6"/>
      <c r="S106" s="6"/>
      <c r="T106" s="6"/>
      <c r="U106" s="6"/>
      <c r="V106" s="6"/>
      <c r="W106" s="6"/>
      <c r="X106" s="6"/>
      <c r="Y106" s="6"/>
      <c r="Z106" s="6"/>
      <c r="AA106" s="6"/>
    </row>
    <row r="107" spans="1:27" ht="14.25">
      <c r="A107" s="6"/>
      <c r="B107" s="6"/>
      <c r="C107" s="6"/>
      <c r="D107" s="6"/>
      <c r="E107" s="6"/>
      <c r="F107" s="6"/>
      <c r="G107" s="6"/>
      <c r="H107" s="6"/>
      <c r="I107" s="6"/>
      <c r="J107" s="6"/>
      <c r="K107" s="6"/>
      <c r="L107" s="6"/>
      <c r="M107" s="6"/>
      <c r="N107" s="6"/>
      <c r="O107" s="6"/>
      <c r="P107" s="6"/>
      <c r="Q107" s="6"/>
      <c r="R107" s="6"/>
      <c r="S107" s="6"/>
      <c r="T107" s="6"/>
      <c r="U107" s="6"/>
      <c r="V107" s="6"/>
      <c r="W107" s="6"/>
      <c r="X107" s="6"/>
      <c r="Y107" s="6"/>
      <c r="Z107" s="6"/>
      <c r="AA107" s="6"/>
    </row>
    <row r="108" spans="1:27" ht="14.25">
      <c r="A108" s="6"/>
      <c r="B108" s="6"/>
      <c r="C108" s="6"/>
      <c r="D108" s="6"/>
      <c r="E108" s="6"/>
      <c r="F108" s="6"/>
      <c r="G108" s="6"/>
      <c r="H108" s="6"/>
      <c r="I108" s="6"/>
      <c r="J108" s="6"/>
      <c r="K108" s="6"/>
      <c r="L108" s="6"/>
      <c r="M108" s="6"/>
      <c r="N108" s="6"/>
      <c r="O108" s="6"/>
      <c r="P108" s="6"/>
      <c r="Q108" s="6"/>
      <c r="R108" s="6"/>
      <c r="S108" s="6"/>
      <c r="T108" s="6"/>
      <c r="U108" s="6"/>
      <c r="V108" s="6"/>
      <c r="W108" s="6"/>
      <c r="X108" s="6"/>
      <c r="Y108" s="6"/>
      <c r="Z108" s="6"/>
      <c r="AA108" s="6"/>
    </row>
    <row r="109" spans="1:27" ht="14.25">
      <c r="A109" s="6"/>
      <c r="B109" s="6"/>
      <c r="C109" s="6"/>
      <c r="D109" s="6"/>
      <c r="E109" s="6"/>
      <c r="F109" s="6"/>
      <c r="G109" s="6"/>
      <c r="H109" s="6"/>
      <c r="I109" s="6"/>
      <c r="J109" s="6"/>
      <c r="K109" s="6"/>
      <c r="L109" s="6"/>
      <c r="M109" s="6"/>
      <c r="N109" s="6"/>
      <c r="O109" s="6"/>
      <c r="P109" s="6"/>
      <c r="Q109" s="6"/>
      <c r="R109" s="6"/>
      <c r="S109" s="6"/>
      <c r="T109" s="6"/>
      <c r="U109" s="6"/>
      <c r="V109" s="6"/>
      <c r="W109" s="6"/>
      <c r="X109" s="6"/>
      <c r="Y109" s="6"/>
      <c r="Z109" s="6"/>
      <c r="AA109" s="6"/>
    </row>
    <row r="110" spans="1:27" ht="14.25">
      <c r="A110" s="6"/>
      <c r="B110" s="6"/>
      <c r="C110" s="6"/>
      <c r="D110" s="6"/>
      <c r="E110" s="6"/>
      <c r="F110" s="6"/>
      <c r="G110" s="6"/>
      <c r="H110" s="6"/>
      <c r="I110" s="6"/>
      <c r="J110" s="6"/>
      <c r="K110" s="6"/>
      <c r="L110" s="6"/>
      <c r="M110" s="6"/>
      <c r="N110" s="6"/>
      <c r="O110" s="6"/>
      <c r="P110" s="6"/>
      <c r="Q110" s="6"/>
      <c r="R110" s="6"/>
      <c r="S110" s="6"/>
      <c r="T110" s="6"/>
      <c r="U110" s="6"/>
      <c r="V110" s="6"/>
      <c r="W110" s="6"/>
      <c r="X110" s="6"/>
      <c r="Y110" s="6"/>
      <c r="Z110" s="6"/>
      <c r="AA110" s="6"/>
    </row>
    <row r="111" spans="1:27" ht="14.25">
      <c r="A111" s="6"/>
      <c r="B111" s="6"/>
      <c r="C111" s="6"/>
      <c r="D111" s="6"/>
      <c r="E111" s="6"/>
      <c r="F111" s="6"/>
      <c r="G111" s="6"/>
      <c r="H111" s="6"/>
      <c r="I111" s="6"/>
      <c r="J111" s="6"/>
      <c r="K111" s="6"/>
      <c r="L111" s="6"/>
      <c r="M111" s="6"/>
      <c r="N111" s="6"/>
      <c r="O111" s="6"/>
      <c r="P111" s="6"/>
      <c r="Q111" s="6"/>
      <c r="R111" s="6"/>
      <c r="S111" s="6"/>
      <c r="T111" s="6"/>
      <c r="U111" s="6"/>
      <c r="V111" s="6"/>
      <c r="W111" s="6"/>
      <c r="X111" s="6"/>
      <c r="Y111" s="6"/>
      <c r="Z111" s="6"/>
      <c r="AA111" s="6"/>
    </row>
    <row r="112" spans="1:27" ht="14.25">
      <c r="A112" s="6"/>
      <c r="B112" s="6"/>
      <c r="C112" s="6"/>
      <c r="D112" s="6"/>
      <c r="E112" s="6"/>
      <c r="F112" s="6"/>
      <c r="G112" s="6"/>
      <c r="H112" s="6"/>
      <c r="I112" s="6"/>
      <c r="J112" s="6"/>
      <c r="K112" s="6"/>
      <c r="L112" s="6"/>
      <c r="M112" s="6"/>
      <c r="N112" s="6"/>
      <c r="O112" s="6"/>
      <c r="P112" s="6"/>
      <c r="Q112" s="6"/>
      <c r="R112" s="6"/>
      <c r="S112" s="6"/>
      <c r="T112" s="6"/>
      <c r="U112" s="6"/>
      <c r="V112" s="6"/>
      <c r="W112" s="6"/>
      <c r="X112" s="6"/>
      <c r="Y112" s="6"/>
      <c r="Z112" s="6"/>
      <c r="AA112" s="6"/>
    </row>
    <row r="113" spans="1:27" ht="14.25">
      <c r="A113" s="6"/>
      <c r="B113" s="6"/>
      <c r="C113" s="6"/>
      <c r="D113" s="6"/>
      <c r="E113" s="6"/>
      <c r="F113" s="6"/>
      <c r="G113" s="6"/>
      <c r="H113" s="6"/>
      <c r="I113" s="6"/>
      <c r="J113" s="6"/>
      <c r="K113" s="6"/>
      <c r="L113" s="6"/>
      <c r="M113" s="6"/>
      <c r="N113" s="6"/>
      <c r="O113" s="6"/>
      <c r="P113" s="6"/>
      <c r="Q113" s="6"/>
      <c r="R113" s="6"/>
      <c r="S113" s="6"/>
      <c r="T113" s="6"/>
      <c r="U113" s="6"/>
      <c r="V113" s="6"/>
      <c r="W113" s="6"/>
      <c r="X113" s="6"/>
      <c r="Y113" s="6"/>
      <c r="Z113" s="6"/>
      <c r="AA113" s="6"/>
    </row>
    <row r="114" spans="1:27" ht="14.25">
      <c r="A114" s="6"/>
      <c r="B114" s="6"/>
      <c r="C114" s="6"/>
      <c r="D114" s="6"/>
      <c r="E114" s="6"/>
      <c r="F114" s="6"/>
      <c r="G114" s="6"/>
      <c r="H114" s="6"/>
      <c r="I114" s="6"/>
      <c r="J114" s="6"/>
      <c r="K114" s="6"/>
      <c r="L114" s="6"/>
      <c r="M114" s="6"/>
      <c r="N114" s="6"/>
      <c r="O114" s="6"/>
      <c r="P114" s="6"/>
      <c r="Q114" s="6"/>
      <c r="R114" s="6"/>
      <c r="S114" s="6"/>
      <c r="T114" s="6"/>
      <c r="U114" s="6"/>
      <c r="V114" s="6"/>
      <c r="W114" s="6"/>
      <c r="X114" s="6"/>
      <c r="Y114" s="6"/>
      <c r="Z114" s="6"/>
      <c r="AA114" s="6"/>
    </row>
    <row r="115" spans="1:27" ht="14.25">
      <c r="A115" s="6"/>
      <c r="B115" s="6"/>
      <c r="C115" s="6"/>
      <c r="D115" s="6"/>
      <c r="E115" s="6"/>
      <c r="F115" s="6"/>
      <c r="G115" s="6"/>
      <c r="H115" s="6"/>
      <c r="I115" s="6"/>
      <c r="J115" s="6"/>
      <c r="K115" s="6"/>
      <c r="L115" s="6"/>
      <c r="M115" s="6"/>
      <c r="N115" s="6"/>
      <c r="O115" s="6"/>
      <c r="P115" s="6"/>
      <c r="Q115" s="6"/>
      <c r="R115" s="6"/>
      <c r="S115" s="6"/>
      <c r="T115" s="6"/>
      <c r="U115" s="6"/>
      <c r="V115" s="6"/>
      <c r="W115" s="6"/>
      <c r="X115" s="6"/>
      <c r="Y115" s="6"/>
      <c r="Z115" s="6"/>
      <c r="AA115" s="6"/>
    </row>
    <row r="116" spans="1:27" ht="14.25">
      <c r="A116" s="6"/>
      <c r="B116" s="6"/>
      <c r="C116" s="6"/>
      <c r="D116" s="6"/>
      <c r="E116" s="6"/>
      <c r="F116" s="6"/>
      <c r="G116" s="6"/>
      <c r="H116" s="6"/>
      <c r="I116" s="6"/>
      <c r="J116" s="6"/>
      <c r="K116" s="6"/>
      <c r="L116" s="6"/>
      <c r="M116" s="6"/>
      <c r="N116" s="6"/>
      <c r="O116" s="6"/>
      <c r="P116" s="6"/>
      <c r="Q116" s="6"/>
      <c r="R116" s="6"/>
      <c r="S116" s="6"/>
      <c r="T116" s="6"/>
      <c r="U116" s="6"/>
      <c r="V116" s="6"/>
      <c r="W116" s="6"/>
      <c r="X116" s="6"/>
      <c r="Y116" s="6"/>
      <c r="Z116" s="6"/>
      <c r="AA116" s="6"/>
    </row>
    <row r="117" spans="1:27" ht="14.25">
      <c r="A117" s="6"/>
      <c r="B117" s="6"/>
      <c r="C117" s="6"/>
      <c r="D117" s="6"/>
      <c r="E117" s="6"/>
      <c r="F117" s="6"/>
      <c r="G117" s="6"/>
      <c r="H117" s="6"/>
      <c r="I117" s="6"/>
      <c r="J117" s="6"/>
      <c r="K117" s="6"/>
      <c r="L117" s="6"/>
      <c r="M117" s="6"/>
      <c r="N117" s="6"/>
      <c r="O117" s="6"/>
      <c r="P117" s="6"/>
      <c r="Q117" s="6"/>
      <c r="R117" s="6"/>
      <c r="S117" s="6"/>
      <c r="T117" s="6"/>
      <c r="U117" s="6"/>
      <c r="V117" s="6"/>
      <c r="W117" s="6"/>
      <c r="X117" s="6"/>
      <c r="Y117" s="6"/>
      <c r="Z117" s="6"/>
      <c r="AA117" s="6"/>
    </row>
    <row r="118" spans="1:27" ht="14.25">
      <c r="A118" s="6"/>
      <c r="B118" s="6"/>
      <c r="C118" s="6"/>
      <c r="D118" s="6"/>
      <c r="E118" s="6"/>
      <c r="F118" s="6"/>
      <c r="G118" s="6"/>
      <c r="H118" s="6"/>
      <c r="I118" s="6"/>
      <c r="J118" s="6"/>
      <c r="K118" s="6"/>
      <c r="L118" s="6"/>
      <c r="M118" s="6"/>
      <c r="N118" s="6"/>
      <c r="O118" s="6"/>
      <c r="P118" s="6"/>
      <c r="Q118" s="6"/>
      <c r="R118" s="6"/>
      <c r="S118" s="6"/>
      <c r="T118" s="6"/>
      <c r="U118" s="6"/>
      <c r="V118" s="6"/>
      <c r="W118" s="6"/>
      <c r="X118" s="6"/>
      <c r="Y118" s="6"/>
      <c r="Z118" s="6"/>
      <c r="AA118" s="6"/>
    </row>
    <row r="119" spans="1:27" ht="14.25">
      <c r="A119" s="6"/>
      <c r="B119" s="6"/>
      <c r="C119" s="6"/>
      <c r="D119" s="6"/>
      <c r="E119" s="6"/>
      <c r="F119" s="6"/>
      <c r="G119" s="6"/>
      <c r="H119" s="6"/>
      <c r="I119" s="6"/>
      <c r="J119" s="6"/>
      <c r="K119" s="6"/>
      <c r="L119" s="6"/>
      <c r="M119" s="6"/>
      <c r="N119" s="6"/>
      <c r="O119" s="6"/>
      <c r="P119" s="6"/>
      <c r="Q119" s="6"/>
      <c r="R119" s="6"/>
      <c r="S119" s="6"/>
      <c r="T119" s="6"/>
      <c r="U119" s="6"/>
      <c r="V119" s="6"/>
      <c r="W119" s="6"/>
      <c r="X119" s="6"/>
      <c r="Y119" s="6"/>
      <c r="Z119" s="6"/>
      <c r="AA119" s="6"/>
    </row>
    <row r="120" spans="1:27" ht="14.25">
      <c r="A120" s="6"/>
      <c r="B120" s="6"/>
      <c r="C120" s="6"/>
      <c r="D120" s="6"/>
      <c r="E120" s="6"/>
      <c r="F120" s="6"/>
      <c r="G120" s="6"/>
      <c r="H120" s="6"/>
      <c r="I120" s="6"/>
      <c r="J120" s="6"/>
      <c r="K120" s="6"/>
      <c r="L120" s="6"/>
      <c r="M120" s="6"/>
      <c r="N120" s="6"/>
      <c r="O120" s="6"/>
      <c r="P120" s="6"/>
      <c r="Q120" s="6"/>
      <c r="R120" s="6"/>
      <c r="S120" s="6"/>
      <c r="T120" s="6"/>
      <c r="U120" s="6"/>
      <c r="V120" s="6"/>
      <c r="W120" s="6"/>
      <c r="X120" s="6"/>
      <c r="Y120" s="6"/>
      <c r="Z120" s="6"/>
      <c r="AA120" s="6"/>
    </row>
    <row r="121" spans="1:27" ht="14.25">
      <c r="A121" s="6"/>
      <c r="B121" s="6"/>
      <c r="C121" s="6"/>
      <c r="D121" s="6"/>
      <c r="E121" s="6"/>
      <c r="F121" s="6"/>
      <c r="G121" s="6"/>
      <c r="H121" s="6"/>
      <c r="I121" s="6"/>
      <c r="J121" s="6"/>
      <c r="K121" s="6"/>
      <c r="L121" s="6"/>
      <c r="M121" s="6"/>
      <c r="N121" s="6"/>
      <c r="O121" s="6"/>
      <c r="P121" s="6"/>
      <c r="Q121" s="6"/>
      <c r="R121" s="6"/>
      <c r="S121" s="6"/>
      <c r="T121" s="6"/>
      <c r="U121" s="6"/>
      <c r="V121" s="6"/>
      <c r="W121" s="6"/>
      <c r="X121" s="6"/>
      <c r="Y121" s="6"/>
      <c r="Z121" s="6"/>
      <c r="AA121" s="6"/>
    </row>
    <row r="122" spans="1:27" ht="14.25">
      <c r="A122" s="6"/>
      <c r="B122" s="6"/>
      <c r="C122" s="6"/>
      <c r="D122" s="6"/>
      <c r="E122" s="6"/>
      <c r="F122" s="6"/>
      <c r="G122" s="6"/>
      <c r="H122" s="6"/>
      <c r="I122" s="6"/>
      <c r="J122" s="6"/>
      <c r="K122" s="6"/>
      <c r="L122" s="6"/>
      <c r="M122" s="6"/>
      <c r="N122" s="6"/>
      <c r="O122" s="6"/>
      <c r="P122" s="6"/>
      <c r="Q122" s="6"/>
      <c r="R122" s="6"/>
      <c r="S122" s="6"/>
      <c r="T122" s="6"/>
      <c r="U122" s="6"/>
      <c r="V122" s="6"/>
      <c r="W122" s="6"/>
      <c r="X122" s="6"/>
      <c r="Y122" s="6"/>
      <c r="Z122" s="6"/>
      <c r="AA122" s="6"/>
    </row>
    <row r="123" spans="1:27" ht="14.25">
      <c r="A123" s="6"/>
      <c r="B123" s="6"/>
      <c r="C123" s="6"/>
      <c r="D123" s="6"/>
      <c r="E123" s="6"/>
      <c r="F123" s="6"/>
      <c r="G123" s="6"/>
      <c r="H123" s="6"/>
      <c r="I123" s="6"/>
      <c r="J123" s="6"/>
      <c r="K123" s="6"/>
      <c r="L123" s="6"/>
      <c r="M123" s="6"/>
      <c r="N123" s="6"/>
      <c r="O123" s="6"/>
      <c r="P123" s="6"/>
      <c r="Q123" s="6"/>
      <c r="R123" s="6"/>
      <c r="S123" s="6"/>
      <c r="T123" s="6"/>
      <c r="U123" s="6"/>
      <c r="V123" s="6"/>
      <c r="W123" s="6"/>
      <c r="X123" s="6"/>
      <c r="Y123" s="6"/>
      <c r="Z123" s="6"/>
      <c r="AA123" s="6"/>
    </row>
    <row r="124" spans="1:27" ht="14.25">
      <c r="A124" s="6"/>
      <c r="B124" s="6"/>
      <c r="C124" s="6"/>
      <c r="D124" s="6"/>
      <c r="E124" s="6"/>
      <c r="F124" s="6"/>
      <c r="G124" s="6"/>
      <c r="H124" s="6"/>
      <c r="I124" s="6"/>
      <c r="J124" s="6"/>
      <c r="K124" s="6"/>
      <c r="L124" s="6"/>
      <c r="M124" s="6"/>
      <c r="N124" s="6"/>
      <c r="O124" s="6"/>
      <c r="P124" s="6"/>
      <c r="Q124" s="6"/>
      <c r="R124" s="6"/>
      <c r="S124" s="6"/>
      <c r="T124" s="6"/>
      <c r="U124" s="6"/>
      <c r="V124" s="6"/>
      <c r="W124" s="6"/>
      <c r="X124" s="6"/>
      <c r="Y124" s="6"/>
      <c r="Z124" s="6"/>
      <c r="AA124" s="6"/>
    </row>
    <row r="125" spans="1:27" ht="14.25">
      <c r="A125" s="6"/>
      <c r="B125" s="6"/>
      <c r="C125" s="6"/>
      <c r="D125" s="6"/>
      <c r="E125" s="6"/>
      <c r="F125" s="6"/>
      <c r="G125" s="6"/>
      <c r="H125" s="6"/>
      <c r="I125" s="6"/>
      <c r="J125" s="6"/>
      <c r="K125" s="6"/>
      <c r="L125" s="6"/>
      <c r="M125" s="6"/>
      <c r="N125" s="6"/>
      <c r="O125" s="6"/>
      <c r="P125" s="6"/>
      <c r="Q125" s="6"/>
      <c r="R125" s="6"/>
      <c r="S125" s="6"/>
      <c r="T125" s="6"/>
      <c r="U125" s="6"/>
      <c r="V125" s="6"/>
      <c r="W125" s="6"/>
      <c r="X125" s="6"/>
      <c r="Y125" s="6"/>
      <c r="Z125" s="6"/>
      <c r="AA125" s="6"/>
    </row>
    <row r="126" spans="1:27" ht="14.25">
      <c r="A126" s="6"/>
      <c r="B126" s="6"/>
      <c r="C126" s="6"/>
      <c r="D126" s="6"/>
      <c r="E126" s="6"/>
      <c r="F126" s="6"/>
      <c r="G126" s="6"/>
      <c r="H126" s="6"/>
      <c r="I126" s="6"/>
      <c r="J126" s="6"/>
      <c r="K126" s="6"/>
      <c r="L126" s="6"/>
      <c r="M126" s="6"/>
      <c r="N126" s="6"/>
      <c r="O126" s="6"/>
      <c r="P126" s="6"/>
      <c r="Q126" s="6"/>
      <c r="R126" s="6"/>
      <c r="S126" s="6"/>
      <c r="T126" s="6"/>
      <c r="U126" s="6"/>
      <c r="V126" s="6"/>
      <c r="W126" s="6"/>
      <c r="X126" s="6"/>
      <c r="Y126" s="6"/>
      <c r="Z126" s="6"/>
      <c r="AA126" s="6"/>
    </row>
    <row r="127" spans="1:27" ht="14.25">
      <c r="A127" s="6"/>
      <c r="B127" s="6"/>
      <c r="C127" s="6"/>
      <c r="D127" s="6"/>
      <c r="E127" s="6"/>
      <c r="F127" s="6"/>
      <c r="G127" s="6"/>
      <c r="H127" s="6"/>
      <c r="I127" s="6"/>
      <c r="J127" s="6"/>
      <c r="K127" s="6"/>
      <c r="L127" s="6"/>
      <c r="M127" s="6"/>
      <c r="N127" s="6"/>
      <c r="O127" s="6"/>
      <c r="P127" s="6"/>
      <c r="Q127" s="6"/>
      <c r="R127" s="6"/>
      <c r="S127" s="6"/>
      <c r="T127" s="6"/>
      <c r="U127" s="6"/>
      <c r="V127" s="6"/>
      <c r="W127" s="6"/>
      <c r="X127" s="6"/>
      <c r="Y127" s="6"/>
      <c r="Z127" s="6"/>
      <c r="AA127" s="6"/>
    </row>
    <row r="128" spans="1:27" ht="14.25">
      <c r="A128" s="6"/>
      <c r="B128" s="6"/>
      <c r="C128" s="6"/>
      <c r="D128" s="6"/>
      <c r="E128" s="6"/>
      <c r="F128" s="6"/>
      <c r="G128" s="6"/>
      <c r="H128" s="6"/>
      <c r="I128" s="6"/>
      <c r="J128" s="6"/>
      <c r="K128" s="6"/>
      <c r="L128" s="6"/>
      <c r="M128" s="6"/>
      <c r="N128" s="6"/>
      <c r="O128" s="6"/>
      <c r="P128" s="6"/>
      <c r="Q128" s="6"/>
      <c r="R128" s="6"/>
      <c r="S128" s="6"/>
      <c r="T128" s="6"/>
      <c r="U128" s="6"/>
      <c r="V128" s="6"/>
      <c r="W128" s="6"/>
      <c r="X128" s="6"/>
      <c r="Y128" s="6"/>
      <c r="Z128" s="6"/>
      <c r="AA128" s="6"/>
    </row>
    <row r="129" spans="1:27" ht="14.25">
      <c r="A129" s="6"/>
      <c r="B129" s="6"/>
      <c r="C129" s="6"/>
      <c r="D129" s="6"/>
      <c r="E129" s="6"/>
      <c r="F129" s="6"/>
      <c r="G129" s="6"/>
      <c r="H129" s="6"/>
      <c r="I129" s="6"/>
      <c r="J129" s="6"/>
      <c r="K129" s="6"/>
      <c r="L129" s="6"/>
      <c r="M129" s="6"/>
      <c r="N129" s="6"/>
      <c r="O129" s="6"/>
      <c r="P129" s="6"/>
      <c r="Q129" s="6"/>
      <c r="R129" s="6"/>
      <c r="S129" s="6"/>
      <c r="T129" s="6"/>
      <c r="U129" s="6"/>
      <c r="V129" s="6"/>
      <c r="W129" s="6"/>
      <c r="X129" s="6"/>
      <c r="Y129" s="6"/>
      <c r="Z129" s="6"/>
      <c r="AA129" s="6"/>
    </row>
    <row r="130" spans="1:27" ht="14.25">
      <c r="A130" s="6"/>
      <c r="B130" s="6"/>
      <c r="C130" s="6"/>
      <c r="D130" s="6"/>
      <c r="E130" s="6"/>
      <c r="F130" s="6"/>
      <c r="G130" s="6"/>
      <c r="H130" s="6"/>
      <c r="I130" s="6"/>
      <c r="J130" s="6"/>
      <c r="K130" s="6"/>
      <c r="L130" s="6"/>
      <c r="M130" s="6"/>
      <c r="N130" s="6"/>
      <c r="O130" s="6"/>
      <c r="P130" s="6"/>
      <c r="Q130" s="6"/>
      <c r="R130" s="6"/>
      <c r="S130" s="6"/>
      <c r="T130" s="6"/>
      <c r="U130" s="6"/>
      <c r="V130" s="6"/>
      <c r="W130" s="6"/>
      <c r="X130" s="6"/>
      <c r="Y130" s="6"/>
      <c r="Z130" s="6"/>
      <c r="AA130" s="6"/>
    </row>
    <row r="131" spans="1:27" ht="14.25">
      <c r="A131" s="6"/>
      <c r="B131" s="6"/>
      <c r="C131" s="6"/>
      <c r="D131" s="6"/>
      <c r="E131" s="6"/>
      <c r="F131" s="6"/>
      <c r="G131" s="6"/>
      <c r="H131" s="6"/>
      <c r="I131" s="6"/>
      <c r="J131" s="6"/>
      <c r="K131" s="6"/>
      <c r="L131" s="6"/>
      <c r="M131" s="6"/>
      <c r="N131" s="6"/>
      <c r="O131" s="6"/>
      <c r="P131" s="6"/>
      <c r="Q131" s="6"/>
      <c r="R131" s="6"/>
      <c r="S131" s="6"/>
      <c r="T131" s="6"/>
      <c r="U131" s="6"/>
      <c r="V131" s="6"/>
      <c r="W131" s="6"/>
      <c r="X131" s="6"/>
      <c r="Y131" s="6"/>
      <c r="Z131" s="6"/>
      <c r="AA131" s="6"/>
    </row>
    <row r="132" spans="1:27" ht="14.25">
      <c r="A132" s="6"/>
      <c r="B132" s="6"/>
      <c r="C132" s="6"/>
      <c r="D132" s="6"/>
      <c r="E132" s="6"/>
      <c r="F132" s="6"/>
      <c r="G132" s="6"/>
      <c r="H132" s="6"/>
      <c r="I132" s="6"/>
      <c r="J132" s="6"/>
      <c r="K132" s="6"/>
      <c r="L132" s="6"/>
      <c r="M132" s="6"/>
      <c r="N132" s="6"/>
      <c r="O132" s="6"/>
      <c r="P132" s="6"/>
      <c r="Q132" s="6"/>
      <c r="R132" s="6"/>
      <c r="S132" s="6"/>
      <c r="T132" s="6"/>
      <c r="U132" s="6"/>
      <c r="V132" s="6"/>
      <c r="W132" s="6"/>
      <c r="X132" s="6"/>
      <c r="Y132" s="6"/>
      <c r="Z132" s="6"/>
      <c r="AA132" s="6"/>
    </row>
    <row r="133" spans="1:27" ht="14.25">
      <c r="A133" s="6"/>
      <c r="B133" s="6"/>
      <c r="C133" s="6"/>
      <c r="D133" s="6"/>
      <c r="E133" s="6"/>
      <c r="F133" s="6"/>
      <c r="G133" s="6"/>
      <c r="H133" s="6"/>
      <c r="I133" s="6"/>
      <c r="J133" s="6"/>
      <c r="K133" s="6"/>
      <c r="L133" s="6"/>
      <c r="M133" s="6"/>
      <c r="N133" s="6"/>
      <c r="O133" s="6"/>
      <c r="P133" s="6"/>
      <c r="Q133" s="6"/>
      <c r="R133" s="6"/>
      <c r="S133" s="6"/>
      <c r="T133" s="6"/>
      <c r="U133" s="6"/>
      <c r="V133" s="6"/>
      <c r="W133" s="6"/>
      <c r="X133" s="6"/>
      <c r="Y133" s="6"/>
      <c r="Z133" s="6"/>
      <c r="AA133" s="6"/>
    </row>
    <row r="134" spans="1:27" ht="14.25">
      <c r="A134" s="6"/>
      <c r="B134" s="6"/>
      <c r="C134" s="6"/>
      <c r="D134" s="6"/>
      <c r="E134" s="6"/>
      <c r="F134" s="6"/>
      <c r="G134" s="6"/>
      <c r="H134" s="6"/>
      <c r="I134" s="6"/>
      <c r="J134" s="6"/>
      <c r="K134" s="6"/>
      <c r="L134" s="6"/>
      <c r="M134" s="6"/>
      <c r="N134" s="6"/>
      <c r="O134" s="6"/>
      <c r="P134" s="6"/>
      <c r="Q134" s="6"/>
      <c r="R134" s="6"/>
      <c r="S134" s="6"/>
      <c r="T134" s="6"/>
      <c r="U134" s="6"/>
      <c r="V134" s="6"/>
      <c r="W134" s="6"/>
      <c r="X134" s="6"/>
      <c r="Y134" s="6"/>
      <c r="Z134" s="6"/>
      <c r="AA134" s="6"/>
    </row>
    <row r="135" spans="1:27" ht="14.25">
      <c r="A135" s="6"/>
      <c r="B135" s="6"/>
      <c r="C135" s="6"/>
      <c r="D135" s="6"/>
      <c r="E135" s="6"/>
      <c r="F135" s="6"/>
      <c r="G135" s="6"/>
      <c r="H135" s="6"/>
      <c r="I135" s="6"/>
      <c r="J135" s="6"/>
      <c r="K135" s="6"/>
      <c r="L135" s="6"/>
      <c r="M135" s="6"/>
      <c r="N135" s="6"/>
      <c r="O135" s="6"/>
      <c r="P135" s="6"/>
      <c r="Q135" s="6"/>
      <c r="R135" s="6"/>
      <c r="S135" s="6"/>
      <c r="T135" s="6"/>
      <c r="U135" s="6"/>
      <c r="V135" s="6"/>
      <c r="W135" s="6"/>
      <c r="X135" s="6"/>
      <c r="Y135" s="6"/>
      <c r="Z135" s="6"/>
      <c r="AA135" s="6"/>
    </row>
    <row r="136" spans="1:27" ht="14.25">
      <c r="A136" s="6"/>
      <c r="B136" s="6"/>
      <c r="C136" s="6"/>
      <c r="D136" s="6"/>
      <c r="E136" s="6"/>
      <c r="F136" s="6"/>
      <c r="G136" s="6"/>
      <c r="H136" s="6"/>
      <c r="I136" s="6"/>
      <c r="J136" s="6"/>
      <c r="K136" s="6"/>
      <c r="L136" s="6"/>
      <c r="M136" s="6"/>
      <c r="N136" s="6"/>
      <c r="O136" s="6"/>
      <c r="P136" s="6"/>
      <c r="Q136" s="6"/>
      <c r="R136" s="6"/>
      <c r="S136" s="6"/>
      <c r="T136" s="6"/>
      <c r="U136" s="6"/>
      <c r="V136" s="6"/>
      <c r="W136" s="6"/>
      <c r="X136" s="6"/>
      <c r="Y136" s="6"/>
      <c r="Z136" s="6"/>
      <c r="AA136" s="6"/>
    </row>
    <row r="137" spans="1:27" ht="14.25">
      <c r="A137" s="6"/>
      <c r="B137" s="6"/>
      <c r="C137" s="6"/>
      <c r="D137" s="6"/>
      <c r="E137" s="6"/>
      <c r="F137" s="6"/>
      <c r="G137" s="6"/>
      <c r="H137" s="6"/>
      <c r="I137" s="6"/>
      <c r="J137" s="6"/>
      <c r="K137" s="6"/>
      <c r="L137" s="6"/>
      <c r="M137" s="6"/>
      <c r="N137" s="6"/>
      <c r="O137" s="6"/>
      <c r="P137" s="6"/>
      <c r="Q137" s="6"/>
      <c r="R137" s="6"/>
      <c r="S137" s="6"/>
      <c r="T137" s="6"/>
      <c r="U137" s="6"/>
      <c r="V137" s="6"/>
      <c r="W137" s="6"/>
      <c r="X137" s="6"/>
      <c r="Y137" s="6"/>
      <c r="Z137" s="6"/>
      <c r="AA137" s="6"/>
    </row>
    <row r="138" spans="1:27" ht="14.25">
      <c r="A138" s="6"/>
      <c r="B138" s="6"/>
      <c r="C138" s="6"/>
      <c r="D138" s="6"/>
      <c r="E138" s="6"/>
      <c r="F138" s="6"/>
      <c r="G138" s="6"/>
      <c r="H138" s="6"/>
      <c r="I138" s="6"/>
      <c r="J138" s="6"/>
      <c r="K138" s="6"/>
      <c r="L138" s="6"/>
      <c r="M138" s="6"/>
      <c r="N138" s="6"/>
      <c r="O138" s="6"/>
      <c r="P138" s="6"/>
      <c r="Q138" s="6"/>
      <c r="R138" s="6"/>
      <c r="S138" s="6"/>
      <c r="T138" s="6"/>
      <c r="U138" s="6"/>
      <c r="V138" s="6"/>
      <c r="W138" s="6"/>
      <c r="X138" s="6"/>
      <c r="Y138" s="6"/>
      <c r="Z138" s="6"/>
      <c r="AA138" s="6"/>
    </row>
    <row r="139" spans="1:27" ht="14.25">
      <c r="A139" s="6"/>
      <c r="B139" s="6"/>
      <c r="C139" s="6"/>
      <c r="D139" s="6"/>
      <c r="E139" s="6"/>
      <c r="F139" s="6"/>
      <c r="G139" s="6"/>
      <c r="H139" s="6"/>
      <c r="I139" s="6"/>
      <c r="J139" s="6"/>
      <c r="K139" s="6"/>
      <c r="L139" s="6"/>
      <c r="M139" s="6"/>
      <c r="N139" s="6"/>
      <c r="O139" s="6"/>
      <c r="P139" s="6"/>
      <c r="Q139" s="6"/>
      <c r="R139" s="6"/>
      <c r="S139" s="6"/>
      <c r="T139" s="6"/>
      <c r="U139" s="6"/>
      <c r="V139" s="6"/>
      <c r="W139" s="6"/>
      <c r="X139" s="6"/>
      <c r="Y139" s="6"/>
      <c r="Z139" s="6"/>
      <c r="AA139" s="6"/>
    </row>
    <row r="140" spans="1:27" ht="14.25">
      <c r="A140" s="6"/>
      <c r="B140" s="6"/>
      <c r="C140" s="6"/>
      <c r="D140" s="6"/>
      <c r="E140" s="6"/>
      <c r="F140" s="6"/>
      <c r="G140" s="6"/>
      <c r="H140" s="6"/>
      <c r="I140" s="6"/>
      <c r="J140" s="6"/>
      <c r="K140" s="6"/>
      <c r="L140" s="6"/>
      <c r="M140" s="6"/>
      <c r="N140" s="6"/>
      <c r="O140" s="6"/>
      <c r="P140" s="6"/>
      <c r="Q140" s="6"/>
      <c r="R140" s="6"/>
      <c r="S140" s="6"/>
      <c r="T140" s="6"/>
      <c r="U140" s="6"/>
      <c r="V140" s="6"/>
      <c r="W140" s="6"/>
      <c r="X140" s="6"/>
      <c r="Y140" s="6"/>
      <c r="Z140" s="6"/>
      <c r="AA140" s="6"/>
    </row>
    <row r="141" spans="1:27" ht="14.25">
      <c r="A141" s="6"/>
      <c r="B141" s="6"/>
      <c r="C141" s="6"/>
      <c r="D141" s="6"/>
      <c r="E141" s="6"/>
      <c r="F141" s="6"/>
      <c r="G141" s="6"/>
      <c r="H141" s="6"/>
      <c r="I141" s="6"/>
      <c r="J141" s="6"/>
      <c r="K141" s="6"/>
      <c r="L141" s="6"/>
      <c r="M141" s="6"/>
      <c r="N141" s="6"/>
      <c r="O141" s="6"/>
      <c r="P141" s="6"/>
      <c r="Q141" s="6"/>
      <c r="R141" s="6"/>
      <c r="S141" s="6"/>
      <c r="T141" s="6"/>
      <c r="U141" s="6"/>
      <c r="V141" s="6"/>
      <c r="W141" s="6"/>
      <c r="X141" s="6"/>
      <c r="Y141" s="6"/>
      <c r="Z141" s="6"/>
      <c r="AA141" s="6"/>
    </row>
    <row r="142" spans="1:27" ht="14.25">
      <c r="A142" s="6"/>
      <c r="B142" s="6"/>
      <c r="C142" s="6"/>
      <c r="D142" s="6"/>
      <c r="E142" s="6"/>
      <c r="F142" s="6"/>
      <c r="G142" s="6"/>
      <c r="H142" s="6"/>
      <c r="I142" s="6"/>
      <c r="J142" s="6"/>
      <c r="K142" s="6"/>
      <c r="L142" s="6"/>
      <c r="M142" s="6"/>
      <c r="N142" s="6"/>
      <c r="O142" s="6"/>
      <c r="P142" s="6"/>
      <c r="Q142" s="6"/>
      <c r="R142" s="6"/>
      <c r="S142" s="6"/>
      <c r="T142" s="6"/>
      <c r="U142" s="6"/>
      <c r="V142" s="6"/>
      <c r="W142" s="6"/>
      <c r="X142" s="6"/>
      <c r="Y142" s="6"/>
      <c r="Z142" s="6"/>
      <c r="AA142" s="6"/>
    </row>
    <row r="143" spans="1:27" ht="14.25">
      <c r="A143" s="6"/>
      <c r="B143" s="6"/>
      <c r="C143" s="6"/>
      <c r="D143" s="6"/>
      <c r="E143" s="6"/>
      <c r="F143" s="6"/>
      <c r="G143" s="6"/>
      <c r="H143" s="6"/>
      <c r="I143" s="6"/>
      <c r="J143" s="6"/>
      <c r="K143" s="6"/>
      <c r="L143" s="6"/>
      <c r="M143" s="6"/>
      <c r="N143" s="6"/>
      <c r="O143" s="6"/>
      <c r="P143" s="6"/>
      <c r="Q143" s="6"/>
      <c r="R143" s="6"/>
      <c r="S143" s="6"/>
      <c r="T143" s="6"/>
      <c r="U143" s="6"/>
      <c r="V143" s="6"/>
      <c r="W143" s="6"/>
      <c r="X143" s="6"/>
      <c r="Y143" s="6"/>
      <c r="Z143" s="6"/>
      <c r="AA143" s="6"/>
    </row>
    <row r="144" spans="1:27" ht="14.25">
      <c r="A144" s="6"/>
      <c r="B144" s="6"/>
      <c r="C144" s="6"/>
      <c r="D144" s="6"/>
      <c r="E144" s="6"/>
      <c r="F144" s="6"/>
      <c r="G144" s="6"/>
      <c r="H144" s="6"/>
      <c r="I144" s="6"/>
      <c r="J144" s="6"/>
      <c r="K144" s="6"/>
      <c r="L144" s="6"/>
      <c r="M144" s="6"/>
      <c r="N144" s="6"/>
      <c r="O144" s="6"/>
      <c r="P144" s="6"/>
      <c r="Q144" s="6"/>
      <c r="R144" s="6"/>
      <c r="S144" s="6"/>
      <c r="T144" s="6"/>
      <c r="U144" s="6"/>
      <c r="V144" s="6"/>
      <c r="W144" s="6"/>
      <c r="X144" s="6"/>
      <c r="Y144" s="6"/>
      <c r="Z144" s="6"/>
      <c r="AA144" s="6"/>
    </row>
    <row r="145" spans="1:27" ht="14.25">
      <c r="A145" s="6"/>
      <c r="B145" s="6"/>
      <c r="C145" s="6"/>
      <c r="D145" s="6"/>
      <c r="E145" s="6"/>
      <c r="F145" s="6"/>
      <c r="G145" s="6"/>
      <c r="H145" s="6"/>
      <c r="I145" s="6"/>
      <c r="J145" s="6"/>
      <c r="K145" s="6"/>
      <c r="L145" s="6"/>
      <c r="M145" s="6"/>
      <c r="N145" s="6"/>
      <c r="O145" s="6"/>
      <c r="P145" s="6"/>
      <c r="Q145" s="6"/>
      <c r="R145" s="6"/>
      <c r="S145" s="6"/>
      <c r="T145" s="6"/>
      <c r="U145" s="6"/>
      <c r="V145" s="6"/>
      <c r="W145" s="6"/>
      <c r="X145" s="6"/>
      <c r="Y145" s="6"/>
      <c r="Z145" s="6"/>
      <c r="AA145" s="6"/>
    </row>
    <row r="146" spans="1:27" ht="14.25">
      <c r="A146" s="6"/>
      <c r="B146" s="6"/>
      <c r="C146" s="6"/>
      <c r="D146" s="6"/>
      <c r="E146" s="6"/>
      <c r="F146" s="6"/>
      <c r="G146" s="6"/>
      <c r="H146" s="6"/>
      <c r="I146" s="6"/>
      <c r="J146" s="6"/>
      <c r="K146" s="6"/>
      <c r="L146" s="6"/>
      <c r="M146" s="6"/>
      <c r="N146" s="6"/>
      <c r="O146" s="6"/>
      <c r="P146" s="6"/>
      <c r="Q146" s="6"/>
      <c r="R146" s="6"/>
      <c r="S146" s="6"/>
      <c r="T146" s="6"/>
      <c r="U146" s="6"/>
      <c r="V146" s="6"/>
      <c r="W146" s="6"/>
      <c r="X146" s="6"/>
      <c r="Y146" s="6"/>
      <c r="Z146" s="6"/>
      <c r="AA146" s="6"/>
    </row>
    <row r="147" spans="1:27" ht="14.25">
      <c r="A147" s="6"/>
      <c r="B147" s="6"/>
      <c r="C147" s="6"/>
      <c r="D147" s="6"/>
      <c r="E147" s="6"/>
      <c r="F147" s="6"/>
      <c r="G147" s="6"/>
      <c r="H147" s="6"/>
      <c r="I147" s="6"/>
      <c r="J147" s="6"/>
      <c r="K147" s="6"/>
      <c r="L147" s="6"/>
      <c r="M147" s="6"/>
      <c r="N147" s="6"/>
      <c r="O147" s="6"/>
      <c r="P147" s="6"/>
      <c r="Q147" s="6"/>
      <c r="R147" s="6"/>
      <c r="S147" s="6"/>
      <c r="T147" s="6"/>
      <c r="U147" s="6"/>
      <c r="V147" s="6"/>
      <c r="W147" s="6"/>
      <c r="X147" s="6"/>
      <c r="Y147" s="6"/>
      <c r="Z147" s="6"/>
      <c r="AA147" s="6"/>
    </row>
    <row r="148" spans="1:27" ht="14.25">
      <c r="A148" s="6"/>
      <c r="B148" s="6"/>
      <c r="C148" s="6"/>
      <c r="D148" s="6"/>
      <c r="E148" s="6"/>
      <c r="F148" s="6"/>
      <c r="G148" s="6"/>
      <c r="H148" s="6"/>
      <c r="I148" s="6"/>
      <c r="J148" s="6"/>
      <c r="K148" s="6"/>
      <c r="L148" s="6"/>
      <c r="M148" s="6"/>
      <c r="N148" s="6"/>
      <c r="O148" s="6"/>
      <c r="P148" s="6"/>
      <c r="Q148" s="6"/>
      <c r="R148" s="6"/>
      <c r="S148" s="6"/>
      <c r="T148" s="6"/>
      <c r="U148" s="6"/>
      <c r="V148" s="6"/>
      <c r="W148" s="6"/>
      <c r="X148" s="6"/>
      <c r="Y148" s="6"/>
      <c r="Z148" s="6"/>
      <c r="AA148" s="6"/>
    </row>
    <row r="149" spans="1:27" ht="14.25">
      <c r="A149" s="6"/>
      <c r="B149" s="6"/>
      <c r="C149" s="6"/>
      <c r="D149" s="6"/>
      <c r="E149" s="6"/>
      <c r="F149" s="6"/>
      <c r="G149" s="6"/>
      <c r="H149" s="6"/>
      <c r="I149" s="6"/>
      <c r="J149" s="6"/>
      <c r="K149" s="6"/>
      <c r="L149" s="6"/>
      <c r="M149" s="6"/>
      <c r="N149" s="6"/>
      <c r="O149" s="6"/>
      <c r="P149" s="6"/>
      <c r="Q149" s="6"/>
      <c r="R149" s="6"/>
      <c r="S149" s="6"/>
      <c r="T149" s="6"/>
      <c r="U149" s="6"/>
      <c r="V149" s="6"/>
      <c r="W149" s="6"/>
      <c r="X149" s="6"/>
      <c r="Y149" s="6"/>
      <c r="Z149" s="6"/>
      <c r="AA149" s="6"/>
    </row>
    <row r="150" spans="1:27" ht="14.25">
      <c r="A150" s="6"/>
      <c r="B150" s="6"/>
      <c r="C150" s="6"/>
      <c r="D150" s="6"/>
      <c r="E150" s="6"/>
      <c r="F150" s="6"/>
      <c r="G150" s="6"/>
      <c r="H150" s="6"/>
      <c r="I150" s="6"/>
      <c r="J150" s="6"/>
      <c r="K150" s="6"/>
      <c r="L150" s="6"/>
      <c r="M150" s="6"/>
      <c r="N150" s="6"/>
      <c r="O150" s="6"/>
      <c r="P150" s="6"/>
      <c r="Q150" s="6"/>
      <c r="R150" s="6"/>
      <c r="S150" s="6"/>
      <c r="T150" s="6"/>
      <c r="U150" s="6"/>
      <c r="V150" s="6"/>
      <c r="W150" s="6"/>
      <c r="X150" s="6"/>
      <c r="Y150" s="6"/>
      <c r="Z150" s="6"/>
      <c r="AA150" s="6"/>
    </row>
    <row r="151" spans="1:27" ht="14.25">
      <c r="A151" s="6"/>
      <c r="B151" s="6"/>
      <c r="C151" s="6"/>
      <c r="D151" s="6"/>
      <c r="E151" s="6"/>
      <c r="F151" s="6"/>
      <c r="G151" s="6"/>
      <c r="H151" s="6"/>
      <c r="I151" s="6"/>
      <c r="J151" s="6"/>
      <c r="K151" s="6"/>
      <c r="L151" s="6"/>
      <c r="M151" s="6"/>
      <c r="N151" s="6"/>
      <c r="O151" s="6"/>
      <c r="P151" s="6"/>
      <c r="Q151" s="6"/>
      <c r="R151" s="6"/>
      <c r="S151" s="6"/>
      <c r="T151" s="6"/>
      <c r="U151" s="6"/>
      <c r="V151" s="6"/>
      <c r="W151" s="6"/>
      <c r="X151" s="6"/>
      <c r="Y151" s="6"/>
      <c r="Z151" s="6"/>
      <c r="AA151" s="6"/>
    </row>
    <row r="152" spans="1:27" ht="14.25">
      <c r="A152" s="6"/>
      <c r="B152" s="6"/>
      <c r="C152" s="6"/>
      <c r="D152" s="6"/>
      <c r="E152" s="6"/>
      <c r="F152" s="6"/>
      <c r="G152" s="6"/>
      <c r="H152" s="6"/>
      <c r="I152" s="6"/>
      <c r="J152" s="6"/>
      <c r="K152" s="6"/>
      <c r="L152" s="6"/>
      <c r="M152" s="6"/>
      <c r="N152" s="6"/>
      <c r="O152" s="6"/>
      <c r="P152" s="6"/>
      <c r="Q152" s="6"/>
      <c r="R152" s="6"/>
      <c r="S152" s="6"/>
      <c r="T152" s="6"/>
      <c r="U152" s="6"/>
      <c r="V152" s="6"/>
      <c r="W152" s="6"/>
      <c r="X152" s="6"/>
      <c r="Y152" s="6"/>
      <c r="Z152" s="6"/>
      <c r="AA152" s="6"/>
    </row>
    <row r="153" spans="1:27" ht="14.25">
      <c r="A153" s="6"/>
      <c r="B153" s="6"/>
      <c r="C153" s="6"/>
      <c r="D153" s="6"/>
      <c r="E153" s="6"/>
      <c r="F153" s="6"/>
      <c r="G153" s="6"/>
      <c r="H153" s="6"/>
      <c r="I153" s="6"/>
      <c r="J153" s="6"/>
      <c r="K153" s="6"/>
      <c r="L153" s="6"/>
      <c r="M153" s="6"/>
      <c r="N153" s="6"/>
      <c r="O153" s="6"/>
      <c r="P153" s="6"/>
      <c r="Q153" s="6"/>
      <c r="R153" s="6"/>
      <c r="S153" s="6"/>
      <c r="T153" s="6"/>
      <c r="U153" s="6"/>
      <c r="V153" s="6"/>
      <c r="W153" s="6"/>
      <c r="X153" s="6"/>
      <c r="Y153" s="6"/>
      <c r="Z153" s="6"/>
      <c r="AA153" s="6"/>
    </row>
    <row r="154" spans="1:27" ht="14.25">
      <c r="A154" s="6"/>
      <c r="B154" s="6"/>
      <c r="C154" s="6"/>
      <c r="D154" s="6"/>
      <c r="E154" s="6"/>
      <c r="F154" s="6"/>
      <c r="G154" s="6"/>
      <c r="H154" s="6"/>
      <c r="I154" s="6"/>
      <c r="J154" s="6"/>
      <c r="K154" s="6"/>
      <c r="L154" s="6"/>
      <c r="M154" s="6"/>
      <c r="N154" s="6"/>
      <c r="O154" s="6"/>
      <c r="P154" s="6"/>
      <c r="Q154" s="6"/>
      <c r="R154" s="6"/>
      <c r="S154" s="6"/>
      <c r="T154" s="6"/>
      <c r="U154" s="6"/>
      <c r="V154" s="6"/>
      <c r="W154" s="6"/>
      <c r="X154" s="6"/>
      <c r="Y154" s="6"/>
      <c r="Z154" s="6"/>
      <c r="AA154" s="6"/>
    </row>
    <row r="155" spans="1:27" ht="14.25">
      <c r="A155" s="6"/>
      <c r="B155" s="6"/>
      <c r="C155" s="6"/>
      <c r="D155" s="6"/>
      <c r="E155" s="6"/>
      <c r="F155" s="6"/>
      <c r="G155" s="6"/>
      <c r="H155" s="6"/>
      <c r="I155" s="6"/>
      <c r="J155" s="6"/>
      <c r="K155" s="6"/>
      <c r="L155" s="6"/>
      <c r="M155" s="6"/>
      <c r="N155" s="6"/>
      <c r="O155" s="6"/>
      <c r="P155" s="6"/>
      <c r="Q155" s="6"/>
      <c r="R155" s="6"/>
      <c r="S155" s="6"/>
      <c r="T155" s="6"/>
      <c r="U155" s="6"/>
      <c r="V155" s="6"/>
      <c r="W155" s="6"/>
      <c r="X155" s="6"/>
      <c r="Y155" s="6"/>
      <c r="Z155" s="6"/>
      <c r="AA155" s="6"/>
    </row>
    <row r="156" spans="1:27" ht="14.25">
      <c r="A156" s="6"/>
      <c r="B156" s="6"/>
      <c r="C156" s="6"/>
      <c r="D156" s="6"/>
      <c r="E156" s="6"/>
      <c r="F156" s="6"/>
      <c r="G156" s="6"/>
      <c r="H156" s="6"/>
      <c r="I156" s="6"/>
      <c r="J156" s="6"/>
      <c r="K156" s="6"/>
      <c r="L156" s="6"/>
      <c r="M156" s="6"/>
      <c r="N156" s="6"/>
      <c r="O156" s="6"/>
      <c r="P156" s="6"/>
      <c r="Q156" s="6"/>
      <c r="R156" s="6"/>
      <c r="S156" s="6"/>
      <c r="T156" s="6"/>
      <c r="U156" s="6"/>
      <c r="V156" s="6"/>
      <c r="W156" s="6"/>
      <c r="X156" s="6"/>
      <c r="Y156" s="6"/>
      <c r="Z156" s="6"/>
      <c r="AA156" s="6"/>
    </row>
    <row r="157" spans="1:27" ht="14.25">
      <c r="A157" s="6"/>
      <c r="B157" s="6"/>
      <c r="C157" s="6"/>
      <c r="D157" s="6"/>
      <c r="E157" s="6"/>
      <c r="F157" s="6"/>
      <c r="G157" s="6"/>
      <c r="H157" s="6"/>
      <c r="I157" s="6"/>
      <c r="J157" s="6"/>
      <c r="K157" s="6"/>
      <c r="L157" s="6"/>
      <c r="M157" s="6"/>
      <c r="N157" s="6"/>
      <c r="O157" s="6"/>
      <c r="P157" s="6"/>
      <c r="Q157" s="6"/>
      <c r="R157" s="6"/>
      <c r="S157" s="6"/>
      <c r="T157" s="6"/>
      <c r="U157" s="6"/>
      <c r="V157" s="6"/>
      <c r="W157" s="6"/>
      <c r="X157" s="6"/>
      <c r="Y157" s="6"/>
      <c r="Z157" s="6"/>
      <c r="AA157" s="6"/>
    </row>
    <row r="158" spans="1:27" ht="14.25">
      <c r="A158" s="6"/>
      <c r="B158" s="6"/>
      <c r="C158" s="6"/>
      <c r="D158" s="6"/>
      <c r="E158" s="6"/>
      <c r="F158" s="6"/>
      <c r="G158" s="6"/>
      <c r="H158" s="6"/>
      <c r="I158" s="6"/>
      <c r="J158" s="6"/>
      <c r="K158" s="6"/>
      <c r="L158" s="6"/>
      <c r="M158" s="6"/>
      <c r="N158" s="6"/>
      <c r="O158" s="6"/>
      <c r="P158" s="6"/>
      <c r="Q158" s="6"/>
      <c r="R158" s="6"/>
      <c r="S158" s="6"/>
      <c r="T158" s="6"/>
      <c r="U158" s="6"/>
      <c r="V158" s="6"/>
      <c r="W158" s="6"/>
      <c r="X158" s="6"/>
      <c r="Y158" s="6"/>
      <c r="Z158" s="6"/>
      <c r="AA158" s="6"/>
    </row>
    <row r="159" spans="1:27" ht="14.25">
      <c r="A159" s="6"/>
      <c r="B159" s="6"/>
      <c r="C159" s="6"/>
      <c r="D159" s="6"/>
      <c r="E159" s="6"/>
      <c r="F159" s="6"/>
      <c r="G159" s="6"/>
      <c r="H159" s="6"/>
      <c r="I159" s="6"/>
      <c r="J159" s="6"/>
      <c r="K159" s="6"/>
      <c r="L159" s="6"/>
      <c r="M159" s="6"/>
      <c r="N159" s="6"/>
      <c r="O159" s="6"/>
      <c r="P159" s="6"/>
      <c r="Q159" s="6"/>
      <c r="R159" s="6"/>
      <c r="S159" s="6"/>
      <c r="T159" s="6"/>
      <c r="U159" s="6"/>
      <c r="V159" s="6"/>
      <c r="W159" s="6"/>
      <c r="X159" s="6"/>
      <c r="Y159" s="6"/>
      <c r="Z159" s="6"/>
      <c r="AA159" s="6"/>
    </row>
    <row r="160" spans="1:27" ht="14.25">
      <c r="A160" s="6"/>
      <c r="B160" s="6"/>
      <c r="C160" s="6"/>
      <c r="D160" s="6"/>
      <c r="E160" s="6"/>
      <c r="F160" s="6"/>
      <c r="G160" s="6"/>
      <c r="H160" s="6"/>
      <c r="I160" s="6"/>
      <c r="J160" s="6"/>
      <c r="K160" s="6"/>
      <c r="L160" s="6"/>
      <c r="M160" s="6"/>
      <c r="N160" s="6"/>
      <c r="O160" s="6"/>
      <c r="P160" s="6"/>
      <c r="Q160" s="6"/>
      <c r="R160" s="6"/>
      <c r="S160" s="6"/>
      <c r="T160" s="6"/>
      <c r="U160" s="6"/>
      <c r="V160" s="6"/>
      <c r="W160" s="6"/>
      <c r="X160" s="6"/>
      <c r="Y160" s="6"/>
      <c r="Z160" s="6"/>
      <c r="AA160" s="6"/>
    </row>
    <row r="161" spans="1:27" ht="14.25">
      <c r="A161" s="6"/>
      <c r="B161" s="6"/>
      <c r="C161" s="6"/>
      <c r="D161" s="6"/>
      <c r="E161" s="6"/>
      <c r="F161" s="6"/>
      <c r="G161" s="6"/>
      <c r="H161" s="6"/>
      <c r="I161" s="6"/>
      <c r="J161" s="6"/>
      <c r="K161" s="6"/>
      <c r="L161" s="6"/>
      <c r="M161" s="6"/>
      <c r="N161" s="6"/>
      <c r="O161" s="6"/>
      <c r="P161" s="6"/>
      <c r="Q161" s="6"/>
      <c r="R161" s="6"/>
      <c r="S161" s="6"/>
      <c r="T161" s="6"/>
      <c r="U161" s="6"/>
      <c r="V161" s="6"/>
      <c r="W161" s="6"/>
      <c r="X161" s="6"/>
      <c r="Y161" s="6"/>
      <c r="Z161" s="6"/>
      <c r="AA161" s="6"/>
    </row>
    <row r="162" spans="1:27" ht="14.25">
      <c r="A162" s="6"/>
      <c r="B162" s="6"/>
      <c r="C162" s="6"/>
      <c r="D162" s="6"/>
      <c r="E162" s="6"/>
      <c r="F162" s="6"/>
      <c r="G162" s="6"/>
      <c r="H162" s="6"/>
      <c r="I162" s="6"/>
      <c r="J162" s="6"/>
      <c r="K162" s="6"/>
      <c r="L162" s="6"/>
      <c r="M162" s="6"/>
      <c r="N162" s="6"/>
      <c r="O162" s="6"/>
      <c r="P162" s="6"/>
      <c r="Q162" s="6"/>
      <c r="R162" s="6"/>
      <c r="S162" s="6"/>
      <c r="T162" s="6"/>
      <c r="U162" s="6"/>
      <c r="V162" s="6"/>
      <c r="W162" s="6"/>
      <c r="X162" s="6"/>
      <c r="Y162" s="6"/>
      <c r="Z162" s="6"/>
      <c r="AA162" s="6"/>
    </row>
    <row r="163" spans="1:27" ht="14.25">
      <c r="A163" s="6"/>
      <c r="B163" s="6"/>
      <c r="C163" s="6"/>
      <c r="D163" s="6"/>
      <c r="E163" s="6"/>
      <c r="F163" s="6"/>
      <c r="G163" s="6"/>
      <c r="H163" s="6"/>
      <c r="I163" s="6"/>
      <c r="J163" s="6"/>
      <c r="K163" s="6"/>
      <c r="L163" s="6"/>
      <c r="M163" s="6"/>
      <c r="N163" s="6"/>
      <c r="O163" s="6"/>
      <c r="P163" s="6"/>
      <c r="Q163" s="6"/>
      <c r="R163" s="6"/>
      <c r="S163" s="6"/>
      <c r="T163" s="6"/>
      <c r="U163" s="6"/>
      <c r="V163" s="6"/>
      <c r="W163" s="6"/>
      <c r="X163" s="6"/>
      <c r="Y163" s="6"/>
      <c r="Z163" s="6"/>
      <c r="AA163" s="6"/>
    </row>
    <row r="164" spans="1:27" ht="14.25">
      <c r="A164" s="6"/>
      <c r="B164" s="6"/>
      <c r="C164" s="6"/>
      <c r="D164" s="6"/>
      <c r="E164" s="6"/>
      <c r="F164" s="6"/>
      <c r="G164" s="6"/>
      <c r="H164" s="6"/>
      <c r="I164" s="6"/>
      <c r="J164" s="6"/>
      <c r="K164" s="6"/>
      <c r="L164" s="6"/>
      <c r="M164" s="6"/>
      <c r="N164" s="6"/>
      <c r="O164" s="6"/>
      <c r="P164" s="6"/>
      <c r="Q164" s="6"/>
      <c r="R164" s="6"/>
      <c r="S164" s="6"/>
      <c r="T164" s="6"/>
      <c r="U164" s="6"/>
      <c r="V164" s="6"/>
      <c r="W164" s="6"/>
      <c r="X164" s="6"/>
      <c r="Y164" s="6"/>
      <c r="Z164" s="6"/>
      <c r="AA164" s="6"/>
    </row>
    <row r="165" spans="1:27" ht="14.25">
      <c r="A165" s="6"/>
      <c r="B165" s="6"/>
      <c r="C165" s="6"/>
      <c r="D165" s="6"/>
      <c r="E165" s="6"/>
      <c r="F165" s="6"/>
      <c r="G165" s="6"/>
      <c r="H165" s="6"/>
      <c r="I165" s="6"/>
      <c r="J165" s="6"/>
      <c r="K165" s="6"/>
      <c r="L165" s="6"/>
      <c r="M165" s="6"/>
      <c r="N165" s="6"/>
      <c r="O165" s="6"/>
      <c r="P165" s="6"/>
      <c r="Q165" s="6"/>
      <c r="R165" s="6"/>
      <c r="S165" s="6"/>
      <c r="T165" s="6"/>
      <c r="U165" s="6"/>
      <c r="V165" s="6"/>
      <c r="W165" s="6"/>
      <c r="X165" s="6"/>
      <c r="Y165" s="6"/>
      <c r="Z165" s="6"/>
      <c r="AA165" s="6"/>
    </row>
    <row r="166" spans="1:27" ht="14.25">
      <c r="A166" s="6"/>
      <c r="B166" s="6"/>
      <c r="C166" s="6"/>
      <c r="D166" s="6"/>
      <c r="E166" s="6"/>
      <c r="F166" s="6"/>
      <c r="G166" s="6"/>
      <c r="H166" s="6"/>
      <c r="I166" s="6"/>
      <c r="J166" s="6"/>
      <c r="K166" s="6"/>
      <c r="L166" s="6"/>
      <c r="M166" s="6"/>
      <c r="N166" s="6"/>
      <c r="O166" s="6"/>
      <c r="P166" s="6"/>
      <c r="Q166" s="6"/>
      <c r="R166" s="6"/>
      <c r="S166" s="6"/>
      <c r="T166" s="6"/>
      <c r="U166" s="6"/>
      <c r="V166" s="6"/>
      <c r="W166" s="6"/>
      <c r="X166" s="6"/>
      <c r="Y166" s="6"/>
      <c r="Z166" s="6"/>
      <c r="AA166" s="6"/>
    </row>
    <row r="167" spans="1:27" ht="14.25">
      <c r="A167" s="6"/>
      <c r="B167" s="6"/>
      <c r="C167" s="6"/>
      <c r="D167" s="6"/>
      <c r="E167" s="6"/>
      <c r="F167" s="6"/>
      <c r="G167" s="6"/>
      <c r="H167" s="6"/>
      <c r="I167" s="6"/>
      <c r="J167" s="6"/>
      <c r="K167" s="6"/>
      <c r="L167" s="6"/>
      <c r="M167" s="6"/>
      <c r="N167" s="6"/>
      <c r="O167" s="6"/>
      <c r="P167" s="6"/>
      <c r="Q167" s="6"/>
      <c r="R167" s="6"/>
      <c r="S167" s="6"/>
      <c r="T167" s="6"/>
      <c r="U167" s="6"/>
      <c r="V167" s="6"/>
      <c r="W167" s="6"/>
      <c r="X167" s="6"/>
      <c r="Y167" s="6"/>
      <c r="Z167" s="6"/>
      <c r="AA167" s="6"/>
    </row>
    <row r="168" spans="1:27" ht="14.25">
      <c r="A168" s="6"/>
      <c r="B168" s="6"/>
      <c r="C168" s="6"/>
      <c r="D168" s="6"/>
      <c r="E168" s="6"/>
      <c r="F168" s="6"/>
      <c r="G168" s="6"/>
      <c r="H168" s="6"/>
      <c r="I168" s="6"/>
      <c r="J168" s="6"/>
      <c r="K168" s="6"/>
      <c r="L168" s="6"/>
      <c r="M168" s="6"/>
      <c r="N168" s="6"/>
      <c r="O168" s="6"/>
      <c r="P168" s="6"/>
      <c r="Q168" s="6"/>
      <c r="R168" s="6"/>
      <c r="S168" s="6"/>
      <c r="T168" s="6"/>
      <c r="U168" s="6"/>
      <c r="V168" s="6"/>
      <c r="W168" s="6"/>
      <c r="X168" s="6"/>
      <c r="Y168" s="6"/>
      <c r="Z168" s="6"/>
      <c r="AA168" s="6"/>
    </row>
    <row r="169" spans="1:27" ht="14.25">
      <c r="A169" s="6"/>
      <c r="B169" s="6"/>
      <c r="C169" s="6"/>
      <c r="D169" s="6"/>
      <c r="E169" s="6"/>
      <c r="F169" s="6"/>
      <c r="G169" s="6"/>
      <c r="H169" s="6"/>
      <c r="I169" s="6"/>
      <c r="J169" s="6"/>
      <c r="K169" s="6"/>
      <c r="L169" s="6"/>
      <c r="M169" s="6"/>
      <c r="N169" s="6"/>
      <c r="O169" s="6"/>
      <c r="P169" s="6"/>
      <c r="Q169" s="6"/>
      <c r="R169" s="6"/>
      <c r="S169" s="6"/>
      <c r="T169" s="6"/>
      <c r="U169" s="6"/>
      <c r="V169" s="6"/>
      <c r="W169" s="6"/>
      <c r="X169" s="6"/>
      <c r="Y169" s="6"/>
      <c r="Z169" s="6"/>
      <c r="AA169" s="6"/>
    </row>
    <row r="170" spans="1:27" ht="14.25">
      <c r="A170" s="6"/>
      <c r="B170" s="6"/>
      <c r="C170" s="6"/>
      <c r="D170" s="6"/>
      <c r="E170" s="6"/>
      <c r="F170" s="6"/>
      <c r="G170" s="6"/>
      <c r="H170" s="6"/>
      <c r="I170" s="6"/>
      <c r="J170" s="6"/>
      <c r="K170" s="6"/>
      <c r="L170" s="6"/>
      <c r="M170" s="6"/>
      <c r="N170" s="6"/>
      <c r="O170" s="6"/>
      <c r="P170" s="6"/>
      <c r="Q170" s="6"/>
      <c r="R170" s="6"/>
      <c r="S170" s="6"/>
      <c r="T170" s="6"/>
      <c r="U170" s="6"/>
      <c r="V170" s="6"/>
      <c r="W170" s="6"/>
      <c r="X170" s="6"/>
      <c r="Y170" s="6"/>
      <c r="Z170" s="6"/>
      <c r="AA170" s="6"/>
    </row>
    <row r="171" spans="1:27" ht="14.25">
      <c r="A171" s="6"/>
      <c r="B171" s="6"/>
      <c r="C171" s="6"/>
      <c r="D171" s="6"/>
      <c r="E171" s="6"/>
      <c r="F171" s="6"/>
      <c r="G171" s="6"/>
      <c r="H171" s="6"/>
      <c r="I171" s="6"/>
      <c r="J171" s="6"/>
      <c r="K171" s="6"/>
      <c r="L171" s="6"/>
      <c r="M171" s="6"/>
      <c r="N171" s="6"/>
      <c r="O171" s="6"/>
      <c r="P171" s="6"/>
      <c r="Q171" s="6"/>
      <c r="R171" s="6"/>
      <c r="S171" s="6"/>
      <c r="T171" s="6"/>
      <c r="U171" s="6"/>
      <c r="V171" s="6"/>
      <c r="W171" s="6"/>
      <c r="X171" s="6"/>
      <c r="Y171" s="6"/>
      <c r="Z171" s="6"/>
      <c r="AA171" s="6"/>
    </row>
    <row r="172" spans="1:27" ht="14.25">
      <c r="A172" s="6"/>
      <c r="B172" s="6"/>
      <c r="C172" s="6"/>
      <c r="D172" s="6"/>
      <c r="E172" s="6"/>
      <c r="F172" s="6"/>
      <c r="G172" s="6"/>
      <c r="H172" s="6"/>
      <c r="I172" s="6"/>
      <c r="J172" s="6"/>
      <c r="K172" s="6"/>
      <c r="L172" s="6"/>
      <c r="M172" s="6"/>
      <c r="N172" s="6"/>
      <c r="O172" s="6"/>
      <c r="P172" s="6"/>
      <c r="Q172" s="6"/>
      <c r="R172" s="6"/>
      <c r="S172" s="6"/>
      <c r="T172" s="6"/>
      <c r="U172" s="6"/>
      <c r="V172" s="6"/>
      <c r="W172" s="6"/>
      <c r="X172" s="6"/>
      <c r="Y172" s="6"/>
      <c r="Z172" s="6"/>
      <c r="AA172" s="6"/>
    </row>
    <row r="173" spans="1:27" ht="14.25">
      <c r="A173" s="6"/>
      <c r="B173" s="6"/>
      <c r="C173" s="6"/>
      <c r="D173" s="6"/>
      <c r="E173" s="6"/>
      <c r="F173" s="6"/>
      <c r="G173" s="6"/>
      <c r="H173" s="6"/>
      <c r="I173" s="6"/>
      <c r="J173" s="6"/>
      <c r="K173" s="6"/>
      <c r="L173" s="6"/>
      <c r="M173" s="6"/>
      <c r="N173" s="6"/>
      <c r="O173" s="6"/>
      <c r="P173" s="6"/>
      <c r="Q173" s="6"/>
      <c r="R173" s="6"/>
      <c r="S173" s="6"/>
      <c r="T173" s="6"/>
      <c r="U173" s="6"/>
      <c r="V173" s="6"/>
      <c r="W173" s="6"/>
      <c r="X173" s="6"/>
      <c r="Y173" s="6"/>
      <c r="Z173" s="6"/>
      <c r="AA173" s="6"/>
    </row>
    <row r="174" spans="1:27" ht="14.25">
      <c r="A174" s="6"/>
      <c r="B174" s="6"/>
      <c r="C174" s="6"/>
      <c r="D174" s="6"/>
      <c r="E174" s="6"/>
      <c r="F174" s="6"/>
      <c r="G174" s="6"/>
      <c r="H174" s="6"/>
      <c r="I174" s="6"/>
      <c r="J174" s="6"/>
      <c r="K174" s="6"/>
      <c r="L174" s="6"/>
      <c r="M174" s="6"/>
      <c r="N174" s="6"/>
      <c r="O174" s="6"/>
      <c r="P174" s="6"/>
      <c r="Q174" s="6"/>
      <c r="R174" s="6"/>
      <c r="S174" s="6"/>
      <c r="T174" s="6"/>
      <c r="U174" s="6"/>
      <c r="V174" s="6"/>
      <c r="W174" s="6"/>
      <c r="X174" s="6"/>
      <c r="Y174" s="6"/>
      <c r="Z174" s="6"/>
      <c r="AA174" s="6"/>
    </row>
    <row r="175" spans="1:27" ht="14.25">
      <c r="A175" s="6"/>
      <c r="B175" s="6"/>
      <c r="C175" s="6"/>
      <c r="D175" s="6"/>
      <c r="E175" s="6"/>
      <c r="F175" s="6"/>
      <c r="G175" s="6"/>
      <c r="H175" s="6"/>
      <c r="I175" s="6"/>
      <c r="J175" s="6"/>
      <c r="K175" s="6"/>
      <c r="L175" s="6"/>
      <c r="M175" s="6"/>
      <c r="N175" s="6"/>
      <c r="O175" s="6"/>
      <c r="P175" s="6"/>
      <c r="Q175" s="6"/>
      <c r="R175" s="6"/>
      <c r="S175" s="6"/>
      <c r="T175" s="6"/>
      <c r="U175" s="6"/>
      <c r="V175" s="6"/>
      <c r="W175" s="6"/>
      <c r="X175" s="6"/>
      <c r="Y175" s="6"/>
      <c r="Z175" s="6"/>
      <c r="AA175" s="6"/>
    </row>
    <row r="176" spans="1:27" ht="14.25">
      <c r="A176" s="6"/>
      <c r="B176" s="6"/>
      <c r="C176" s="6"/>
      <c r="D176" s="6"/>
      <c r="E176" s="6"/>
      <c r="F176" s="6"/>
      <c r="G176" s="6"/>
      <c r="H176" s="6"/>
      <c r="I176" s="6"/>
      <c r="J176" s="6"/>
      <c r="K176" s="6"/>
      <c r="L176" s="6"/>
      <c r="M176" s="6"/>
      <c r="N176" s="6"/>
      <c r="O176" s="6"/>
      <c r="P176" s="6"/>
      <c r="Q176" s="6"/>
      <c r="R176" s="6"/>
      <c r="S176" s="6"/>
      <c r="T176" s="6"/>
      <c r="U176" s="6"/>
      <c r="V176" s="6"/>
      <c r="W176" s="6"/>
      <c r="X176" s="6"/>
      <c r="Y176" s="6"/>
      <c r="Z176" s="6"/>
      <c r="AA176" s="6"/>
    </row>
    <row r="177" spans="1:27" ht="14.25">
      <c r="A177" s="6"/>
      <c r="B177" s="6"/>
      <c r="C177" s="6"/>
      <c r="D177" s="6"/>
      <c r="E177" s="6"/>
      <c r="F177" s="6"/>
      <c r="G177" s="6"/>
      <c r="H177" s="6"/>
      <c r="I177" s="6"/>
      <c r="J177" s="6"/>
      <c r="K177" s="6"/>
      <c r="L177" s="6"/>
      <c r="M177" s="6"/>
      <c r="N177" s="6"/>
      <c r="O177" s="6"/>
      <c r="P177" s="6"/>
      <c r="Q177" s="6"/>
      <c r="R177" s="6"/>
      <c r="S177" s="6"/>
      <c r="T177" s="6"/>
      <c r="U177" s="6"/>
      <c r="V177" s="6"/>
      <c r="W177" s="6"/>
      <c r="X177" s="6"/>
      <c r="Y177" s="6"/>
      <c r="Z177" s="6"/>
      <c r="AA177" s="6"/>
    </row>
    <row r="178" spans="1:27" ht="14.25">
      <c r="A178" s="6"/>
      <c r="B178" s="6"/>
      <c r="C178" s="6"/>
      <c r="D178" s="6"/>
      <c r="E178" s="6"/>
      <c r="F178" s="6"/>
      <c r="G178" s="6"/>
      <c r="H178" s="6"/>
      <c r="I178" s="6"/>
      <c r="J178" s="6"/>
      <c r="K178" s="6"/>
      <c r="L178" s="6"/>
      <c r="M178" s="6"/>
      <c r="N178" s="6"/>
      <c r="O178" s="6"/>
      <c r="P178" s="6"/>
      <c r="Q178" s="6"/>
      <c r="R178" s="6"/>
      <c r="S178" s="6"/>
      <c r="T178" s="6"/>
      <c r="U178" s="6"/>
      <c r="V178" s="6"/>
      <c r="W178" s="6"/>
      <c r="X178" s="6"/>
      <c r="Y178" s="6"/>
      <c r="Z178" s="6"/>
      <c r="AA178" s="6"/>
    </row>
    <row r="179" spans="1:27" ht="14.25">
      <c r="A179" s="6"/>
      <c r="B179" s="6"/>
      <c r="C179" s="6"/>
      <c r="D179" s="6"/>
      <c r="E179" s="6"/>
      <c r="F179" s="6"/>
      <c r="G179" s="6"/>
      <c r="H179" s="6"/>
      <c r="I179" s="6"/>
      <c r="J179" s="6"/>
      <c r="K179" s="6"/>
      <c r="L179" s="6"/>
      <c r="M179" s="6"/>
      <c r="N179" s="6"/>
      <c r="O179" s="6"/>
      <c r="P179" s="6"/>
      <c r="Q179" s="6"/>
      <c r="R179" s="6"/>
      <c r="S179" s="6"/>
      <c r="T179" s="6"/>
      <c r="U179" s="6"/>
      <c r="V179" s="6"/>
      <c r="W179" s="6"/>
      <c r="X179" s="6"/>
      <c r="Y179" s="6"/>
      <c r="Z179" s="6"/>
      <c r="AA179" s="6"/>
    </row>
    <row r="180" spans="1:27" ht="14.25">
      <c r="A180" s="6"/>
      <c r="B180" s="6"/>
      <c r="C180" s="6"/>
      <c r="D180" s="6"/>
      <c r="E180" s="6"/>
      <c r="F180" s="6"/>
      <c r="G180" s="6"/>
      <c r="H180" s="6"/>
      <c r="I180" s="6"/>
      <c r="J180" s="6"/>
      <c r="K180" s="6"/>
      <c r="L180" s="6"/>
      <c r="M180" s="6"/>
      <c r="N180" s="6"/>
      <c r="O180" s="6"/>
      <c r="P180" s="6"/>
      <c r="Q180" s="6"/>
      <c r="R180" s="6"/>
      <c r="S180" s="6"/>
      <c r="T180" s="6"/>
      <c r="U180" s="6"/>
      <c r="V180" s="6"/>
      <c r="W180" s="6"/>
      <c r="X180" s="6"/>
      <c r="Y180" s="6"/>
      <c r="Z180" s="6"/>
      <c r="AA180" s="6"/>
    </row>
    <row r="181" spans="1:27" ht="14.25">
      <c r="A181" s="6"/>
      <c r="B181" s="6"/>
      <c r="C181" s="6"/>
      <c r="D181" s="6"/>
      <c r="E181" s="6"/>
      <c r="F181" s="6"/>
      <c r="G181" s="6"/>
      <c r="H181" s="6"/>
      <c r="I181" s="6"/>
      <c r="J181" s="6"/>
      <c r="K181" s="6"/>
      <c r="L181" s="6"/>
      <c r="M181" s="6"/>
      <c r="N181" s="6"/>
      <c r="O181" s="6"/>
      <c r="P181" s="6"/>
      <c r="Q181" s="6"/>
      <c r="R181" s="6"/>
      <c r="S181" s="6"/>
      <c r="T181" s="6"/>
      <c r="U181" s="6"/>
      <c r="V181" s="6"/>
      <c r="W181" s="6"/>
      <c r="X181" s="6"/>
      <c r="Y181" s="6"/>
      <c r="Z181" s="6"/>
      <c r="AA181" s="6"/>
    </row>
    <row r="182" spans="1:27" ht="14.25">
      <c r="A182" s="6"/>
      <c r="B182" s="6"/>
      <c r="C182" s="6"/>
      <c r="D182" s="6"/>
      <c r="E182" s="6"/>
      <c r="F182" s="6"/>
      <c r="G182" s="6"/>
      <c r="H182" s="6"/>
      <c r="I182" s="6"/>
      <c r="J182" s="6"/>
      <c r="K182" s="6"/>
      <c r="L182" s="6"/>
      <c r="M182" s="6"/>
      <c r="N182" s="6"/>
      <c r="O182" s="6"/>
      <c r="P182" s="6"/>
      <c r="Q182" s="6"/>
      <c r="R182" s="6"/>
      <c r="S182" s="6"/>
      <c r="T182" s="6"/>
      <c r="U182" s="6"/>
      <c r="V182" s="6"/>
      <c r="W182" s="6"/>
      <c r="X182" s="6"/>
      <c r="Y182" s="6"/>
      <c r="Z182" s="6"/>
      <c r="AA182" s="6"/>
    </row>
    <row r="183" spans="1:27" ht="14.25">
      <c r="A183" s="6"/>
      <c r="B183" s="6"/>
      <c r="C183" s="6"/>
      <c r="D183" s="6"/>
      <c r="E183" s="6"/>
      <c r="F183" s="6"/>
      <c r="G183" s="6"/>
      <c r="H183" s="6"/>
      <c r="I183" s="6"/>
      <c r="J183" s="6"/>
      <c r="K183" s="6"/>
      <c r="L183" s="6"/>
      <c r="M183" s="6"/>
      <c r="N183" s="6"/>
      <c r="O183" s="6"/>
      <c r="P183" s="6"/>
      <c r="Q183" s="6"/>
      <c r="R183" s="6"/>
      <c r="S183" s="6"/>
      <c r="T183" s="6"/>
      <c r="U183" s="6"/>
      <c r="V183" s="6"/>
      <c r="W183" s="6"/>
      <c r="X183" s="6"/>
      <c r="Y183" s="6"/>
      <c r="Z183" s="6"/>
      <c r="AA183" s="6"/>
    </row>
    <row r="184" spans="1:27" ht="14.25">
      <c r="A184" s="6"/>
      <c r="B184" s="6"/>
      <c r="C184" s="6"/>
      <c r="D184" s="6"/>
      <c r="E184" s="6"/>
      <c r="F184" s="6"/>
      <c r="G184" s="6"/>
      <c r="H184" s="6"/>
      <c r="I184" s="6"/>
      <c r="J184" s="6"/>
      <c r="K184" s="6"/>
      <c r="L184" s="6"/>
      <c r="M184" s="6"/>
      <c r="N184" s="6"/>
      <c r="O184" s="6"/>
      <c r="P184" s="6"/>
      <c r="Q184" s="6"/>
      <c r="R184" s="6"/>
      <c r="S184" s="6"/>
      <c r="T184" s="6"/>
      <c r="U184" s="6"/>
      <c r="V184" s="6"/>
      <c r="W184" s="6"/>
      <c r="X184" s="6"/>
      <c r="Y184" s="6"/>
      <c r="Z184" s="6"/>
      <c r="AA184" s="6"/>
    </row>
    <row r="185" spans="1:27" ht="14.25">
      <c r="A185" s="6"/>
      <c r="B185" s="6"/>
      <c r="C185" s="6"/>
      <c r="D185" s="6"/>
      <c r="E185" s="6"/>
      <c r="F185" s="6"/>
      <c r="G185" s="6"/>
      <c r="H185" s="6"/>
      <c r="I185" s="6"/>
      <c r="J185" s="6"/>
      <c r="K185" s="6"/>
      <c r="L185" s="6"/>
      <c r="M185" s="6"/>
      <c r="N185" s="6"/>
      <c r="O185" s="6"/>
      <c r="P185" s="6"/>
      <c r="Q185" s="6"/>
      <c r="R185" s="6"/>
      <c r="S185" s="6"/>
      <c r="T185" s="6"/>
      <c r="U185" s="6"/>
      <c r="V185" s="6"/>
      <c r="W185" s="6"/>
      <c r="X185" s="6"/>
      <c r="Y185" s="6"/>
      <c r="Z185" s="6"/>
      <c r="AA185" s="6"/>
    </row>
    <row r="186" spans="1:27" ht="14.25">
      <c r="A186" s="6"/>
      <c r="B186" s="6"/>
      <c r="C186" s="6"/>
      <c r="D186" s="6"/>
      <c r="E186" s="6"/>
      <c r="F186" s="6"/>
      <c r="G186" s="6"/>
      <c r="H186" s="6"/>
      <c r="I186" s="6"/>
      <c r="J186" s="6"/>
      <c r="K186" s="6"/>
      <c r="L186" s="6"/>
      <c r="M186" s="6"/>
      <c r="N186" s="6"/>
      <c r="O186" s="6"/>
      <c r="P186" s="6"/>
      <c r="Q186" s="6"/>
      <c r="R186" s="6"/>
      <c r="S186" s="6"/>
      <c r="T186" s="6"/>
      <c r="U186" s="6"/>
      <c r="V186" s="6"/>
      <c r="W186" s="6"/>
      <c r="X186" s="6"/>
      <c r="Y186" s="6"/>
      <c r="Z186" s="6"/>
      <c r="AA186" s="6"/>
    </row>
    <row r="187" spans="1:27" ht="14.25">
      <c r="A187" s="6"/>
      <c r="B187" s="6"/>
      <c r="C187" s="6"/>
      <c r="D187" s="6"/>
      <c r="E187" s="6"/>
      <c r="F187" s="6"/>
      <c r="G187" s="6"/>
      <c r="H187" s="6"/>
      <c r="I187" s="6"/>
      <c r="J187" s="6"/>
      <c r="K187" s="6"/>
      <c r="L187" s="6"/>
      <c r="M187" s="6"/>
      <c r="N187" s="6"/>
      <c r="O187" s="6"/>
      <c r="P187" s="6"/>
      <c r="Q187" s="6"/>
      <c r="R187" s="6"/>
      <c r="S187" s="6"/>
      <c r="T187" s="6"/>
      <c r="U187" s="6"/>
      <c r="V187" s="6"/>
      <c r="W187" s="6"/>
      <c r="X187" s="6"/>
      <c r="Y187" s="6"/>
      <c r="Z187" s="6"/>
      <c r="AA187" s="6"/>
    </row>
    <row r="188" spans="1:27" ht="14.25">
      <c r="A188" s="6"/>
      <c r="B188" s="6"/>
      <c r="C188" s="6"/>
      <c r="D188" s="6"/>
      <c r="E188" s="6"/>
      <c r="F188" s="6"/>
      <c r="G188" s="6"/>
      <c r="H188" s="6"/>
      <c r="I188" s="6"/>
      <c r="J188" s="6"/>
      <c r="K188" s="6"/>
      <c r="L188" s="6"/>
      <c r="M188" s="6"/>
      <c r="N188" s="6"/>
      <c r="O188" s="6"/>
      <c r="P188" s="6"/>
      <c r="Q188" s="6"/>
      <c r="R188" s="6"/>
      <c r="S188" s="6"/>
      <c r="T188" s="6"/>
      <c r="U188" s="6"/>
      <c r="V188" s="6"/>
      <c r="W188" s="6"/>
      <c r="X188" s="6"/>
      <c r="Y188" s="6"/>
      <c r="Z188" s="6"/>
      <c r="AA188" s="6"/>
    </row>
    <row r="189" spans="1:27" ht="14.25">
      <c r="A189" s="6"/>
      <c r="B189" s="6"/>
      <c r="C189" s="6"/>
      <c r="D189" s="6"/>
      <c r="E189" s="6"/>
      <c r="F189" s="6"/>
      <c r="G189" s="6"/>
      <c r="H189" s="6"/>
      <c r="I189" s="6"/>
      <c r="J189" s="6"/>
      <c r="K189" s="6"/>
      <c r="L189" s="6"/>
      <c r="M189" s="6"/>
      <c r="N189" s="6"/>
      <c r="O189" s="6"/>
      <c r="P189" s="6"/>
      <c r="Q189" s="6"/>
      <c r="R189" s="6"/>
      <c r="S189" s="6"/>
      <c r="T189" s="6"/>
      <c r="U189" s="6"/>
      <c r="V189" s="6"/>
      <c r="W189" s="6"/>
      <c r="X189" s="6"/>
      <c r="Y189" s="6"/>
      <c r="Z189" s="6"/>
      <c r="AA189" s="6"/>
    </row>
    <row r="190" spans="1:27" ht="14.25">
      <c r="A190" s="6"/>
      <c r="B190" s="6"/>
      <c r="C190" s="6"/>
      <c r="D190" s="6"/>
      <c r="E190" s="6"/>
      <c r="F190" s="6"/>
      <c r="G190" s="6"/>
      <c r="H190" s="6"/>
      <c r="I190" s="6"/>
      <c r="J190" s="6"/>
      <c r="K190" s="6"/>
      <c r="L190" s="6"/>
      <c r="M190" s="6"/>
      <c r="N190" s="6"/>
      <c r="O190" s="6"/>
      <c r="P190" s="6"/>
      <c r="Q190" s="6"/>
      <c r="R190" s="6"/>
      <c r="S190" s="6"/>
      <c r="T190" s="6"/>
      <c r="U190" s="6"/>
      <c r="V190" s="6"/>
      <c r="W190" s="6"/>
      <c r="X190" s="6"/>
      <c r="Y190" s="6"/>
      <c r="Z190" s="6"/>
      <c r="AA190" s="6"/>
    </row>
    <row r="191" spans="1:27" ht="14.25">
      <c r="A191" s="6"/>
      <c r="B191" s="6"/>
      <c r="C191" s="6"/>
      <c r="D191" s="6"/>
      <c r="E191" s="6"/>
      <c r="F191" s="6"/>
      <c r="G191" s="6"/>
      <c r="H191" s="6"/>
      <c r="I191" s="6"/>
      <c r="J191" s="6"/>
      <c r="K191" s="6"/>
      <c r="L191" s="6"/>
      <c r="M191" s="6"/>
      <c r="N191" s="6"/>
      <c r="O191" s="6"/>
      <c r="P191" s="6"/>
      <c r="Q191" s="6"/>
      <c r="R191" s="6"/>
      <c r="S191" s="6"/>
      <c r="T191" s="6"/>
      <c r="U191" s="6"/>
      <c r="V191" s="6"/>
      <c r="W191" s="6"/>
      <c r="X191" s="6"/>
      <c r="Y191" s="6"/>
      <c r="Z191" s="6"/>
      <c r="AA191" s="6"/>
    </row>
    <row r="192" spans="1:27" ht="14.25">
      <c r="A192" s="6"/>
      <c r="B192" s="6"/>
      <c r="C192" s="6"/>
      <c r="D192" s="6"/>
      <c r="E192" s="6"/>
      <c r="F192" s="6"/>
      <c r="G192" s="6"/>
      <c r="H192" s="6"/>
      <c r="I192" s="6"/>
      <c r="J192" s="6"/>
      <c r="K192" s="6"/>
      <c r="L192" s="6"/>
      <c r="M192" s="6"/>
      <c r="N192" s="6"/>
      <c r="O192" s="6"/>
      <c r="P192" s="6"/>
      <c r="Q192" s="6"/>
      <c r="R192" s="6"/>
      <c r="S192" s="6"/>
      <c r="T192" s="6"/>
      <c r="U192" s="6"/>
      <c r="V192" s="6"/>
      <c r="W192" s="6"/>
      <c r="X192" s="6"/>
      <c r="Y192" s="6"/>
      <c r="Z192" s="6"/>
      <c r="AA192" s="6"/>
    </row>
    <row r="193" spans="1:27" ht="14.25">
      <c r="A193" s="6"/>
      <c r="B193" s="6"/>
      <c r="C193" s="6"/>
      <c r="D193" s="6"/>
      <c r="E193" s="6"/>
      <c r="F193" s="6"/>
      <c r="G193" s="6"/>
      <c r="H193" s="6"/>
      <c r="I193" s="6"/>
      <c r="J193" s="6"/>
      <c r="K193" s="6"/>
      <c r="L193" s="6"/>
      <c r="M193" s="6"/>
      <c r="N193" s="6"/>
      <c r="O193" s="6"/>
      <c r="P193" s="6"/>
      <c r="Q193" s="6"/>
      <c r="R193" s="6"/>
      <c r="S193" s="6"/>
      <c r="T193" s="6"/>
      <c r="U193" s="6"/>
      <c r="V193" s="6"/>
      <c r="W193" s="6"/>
      <c r="X193" s="6"/>
      <c r="Y193" s="6"/>
      <c r="Z193" s="6"/>
      <c r="AA193" s="6"/>
    </row>
    <row r="194" spans="1:27" ht="14.25">
      <c r="A194" s="6"/>
      <c r="B194" s="6"/>
      <c r="C194" s="6"/>
      <c r="D194" s="6"/>
      <c r="E194" s="6"/>
      <c r="F194" s="6"/>
      <c r="G194" s="6"/>
      <c r="H194" s="6"/>
      <c r="I194" s="6"/>
      <c r="J194" s="6"/>
      <c r="K194" s="6"/>
      <c r="L194" s="6"/>
      <c r="M194" s="6"/>
      <c r="N194" s="6"/>
      <c r="O194" s="6"/>
      <c r="P194" s="6"/>
      <c r="Q194" s="6"/>
      <c r="R194" s="6"/>
      <c r="S194" s="6"/>
      <c r="T194" s="6"/>
      <c r="U194" s="6"/>
      <c r="V194" s="6"/>
      <c r="W194" s="6"/>
      <c r="X194" s="6"/>
      <c r="Y194" s="6"/>
      <c r="Z194" s="6"/>
      <c r="AA194" s="6"/>
    </row>
    <row r="195" spans="1:27" ht="14.25">
      <c r="A195" s="6"/>
      <c r="B195" s="6"/>
      <c r="C195" s="6"/>
      <c r="D195" s="6"/>
      <c r="E195" s="6"/>
      <c r="F195" s="6"/>
      <c r="G195" s="6"/>
      <c r="H195" s="6"/>
      <c r="I195" s="6"/>
      <c r="J195" s="6"/>
      <c r="K195" s="6"/>
      <c r="L195" s="6"/>
      <c r="M195" s="6"/>
      <c r="N195" s="6"/>
      <c r="O195" s="6"/>
      <c r="P195" s="6"/>
      <c r="Q195" s="6"/>
      <c r="R195" s="6"/>
      <c r="S195" s="6"/>
      <c r="T195" s="6"/>
      <c r="U195" s="6"/>
      <c r="V195" s="6"/>
      <c r="W195" s="6"/>
      <c r="X195" s="6"/>
      <c r="Y195" s="6"/>
      <c r="Z195" s="6"/>
      <c r="AA195" s="6"/>
    </row>
    <row r="196" spans="1:27" ht="14.25">
      <c r="A196" s="6"/>
      <c r="B196" s="6"/>
      <c r="C196" s="6"/>
      <c r="D196" s="6"/>
      <c r="E196" s="6"/>
      <c r="F196" s="6"/>
      <c r="G196" s="6"/>
      <c r="H196" s="6"/>
      <c r="I196" s="6"/>
      <c r="J196" s="6"/>
      <c r="K196" s="6"/>
      <c r="L196" s="6"/>
      <c r="M196" s="6"/>
      <c r="N196" s="6"/>
      <c r="O196" s="6"/>
      <c r="P196" s="6"/>
      <c r="Q196" s="6"/>
      <c r="R196" s="6"/>
      <c r="S196" s="6"/>
      <c r="T196" s="6"/>
      <c r="U196" s="6"/>
      <c r="V196" s="6"/>
      <c r="W196" s="6"/>
      <c r="X196" s="6"/>
      <c r="Y196" s="6"/>
      <c r="Z196" s="6"/>
      <c r="AA196" s="6"/>
    </row>
    <row r="197" spans="1:27" ht="14.25">
      <c r="A197" s="6"/>
      <c r="B197" s="6"/>
      <c r="C197" s="6"/>
      <c r="D197" s="6"/>
      <c r="E197" s="6"/>
      <c r="F197" s="6"/>
      <c r="G197" s="6"/>
      <c r="H197" s="6"/>
      <c r="I197" s="6"/>
      <c r="J197" s="6"/>
      <c r="K197" s="6"/>
      <c r="L197" s="6"/>
      <c r="M197" s="6"/>
      <c r="N197" s="6"/>
      <c r="O197" s="6"/>
      <c r="P197" s="6"/>
      <c r="Q197" s="6"/>
      <c r="R197" s="6"/>
      <c r="S197" s="6"/>
      <c r="T197" s="6"/>
      <c r="U197" s="6"/>
      <c r="V197" s="6"/>
      <c r="W197" s="6"/>
      <c r="X197" s="6"/>
      <c r="Y197" s="6"/>
      <c r="Z197" s="6"/>
      <c r="AA197" s="6"/>
    </row>
    <row r="198" spans="1:27" ht="14.25">
      <c r="A198" s="6"/>
      <c r="B198" s="6"/>
      <c r="C198" s="6"/>
      <c r="D198" s="6"/>
      <c r="E198" s="6"/>
      <c r="F198" s="6"/>
      <c r="G198" s="6"/>
      <c r="H198" s="6"/>
      <c r="I198" s="6"/>
      <c r="J198" s="6"/>
      <c r="K198" s="6"/>
      <c r="L198" s="6"/>
      <c r="M198" s="6"/>
      <c r="N198" s="6"/>
      <c r="O198" s="6"/>
      <c r="P198" s="6"/>
      <c r="Q198" s="6"/>
      <c r="R198" s="6"/>
      <c r="S198" s="6"/>
      <c r="T198" s="6"/>
      <c r="U198" s="6"/>
      <c r="V198" s="6"/>
      <c r="W198" s="6"/>
      <c r="X198" s="6"/>
      <c r="Y198" s="6"/>
      <c r="Z198" s="6"/>
      <c r="AA198" s="6"/>
    </row>
    <row r="199" spans="1:27" ht="14.25">
      <c r="A199" s="6"/>
      <c r="B199" s="6"/>
      <c r="C199" s="6"/>
      <c r="D199" s="6"/>
      <c r="E199" s="6"/>
      <c r="F199" s="6"/>
      <c r="G199" s="6"/>
      <c r="H199" s="6"/>
      <c r="I199" s="6"/>
      <c r="J199" s="6"/>
      <c r="K199" s="6"/>
      <c r="L199" s="6"/>
      <c r="M199" s="6"/>
      <c r="N199" s="6"/>
      <c r="O199" s="6"/>
      <c r="P199" s="6"/>
      <c r="Q199" s="6"/>
      <c r="R199" s="6"/>
      <c r="S199" s="6"/>
      <c r="T199" s="6"/>
      <c r="U199" s="6"/>
      <c r="V199" s="6"/>
      <c r="W199" s="6"/>
      <c r="X199" s="6"/>
      <c r="Y199" s="6"/>
      <c r="Z199" s="6"/>
      <c r="AA199" s="6"/>
    </row>
    <row r="200" spans="1:27" ht="14.25">
      <c r="A200" s="6"/>
      <c r="B200" s="6"/>
      <c r="C200" s="6"/>
      <c r="D200" s="6"/>
      <c r="E200" s="6"/>
      <c r="F200" s="6"/>
      <c r="G200" s="6"/>
      <c r="H200" s="6"/>
      <c r="I200" s="6"/>
      <c r="J200" s="6"/>
      <c r="K200" s="6"/>
      <c r="L200" s="6"/>
      <c r="M200" s="6"/>
      <c r="N200" s="6"/>
      <c r="O200" s="6"/>
      <c r="P200" s="6"/>
      <c r="Q200" s="6"/>
      <c r="R200" s="6"/>
      <c r="S200" s="6"/>
      <c r="T200" s="6"/>
      <c r="U200" s="6"/>
      <c r="V200" s="6"/>
      <c r="W200" s="6"/>
      <c r="X200" s="6"/>
      <c r="Y200" s="6"/>
      <c r="Z200" s="6"/>
      <c r="AA200" s="6"/>
    </row>
    <row r="201" spans="1:27" ht="14.25">
      <c r="A201" s="6"/>
      <c r="B201" s="6"/>
      <c r="C201" s="6"/>
      <c r="D201" s="6"/>
      <c r="E201" s="6"/>
      <c r="F201" s="6"/>
      <c r="G201" s="6"/>
      <c r="H201" s="6"/>
      <c r="I201" s="6"/>
      <c r="J201" s="6"/>
      <c r="K201" s="6"/>
      <c r="L201" s="6"/>
      <c r="M201" s="6"/>
      <c r="N201" s="6"/>
      <c r="O201" s="6"/>
      <c r="P201" s="6"/>
      <c r="Q201" s="6"/>
      <c r="R201" s="6"/>
      <c r="S201" s="6"/>
      <c r="T201" s="6"/>
      <c r="U201" s="6"/>
      <c r="V201" s="6"/>
      <c r="W201" s="6"/>
      <c r="X201" s="6"/>
      <c r="Y201" s="6"/>
      <c r="Z201" s="6"/>
      <c r="AA201" s="6"/>
    </row>
    <row r="202" spans="1:27" ht="14.25">
      <c r="A202" s="6"/>
      <c r="B202" s="6"/>
      <c r="C202" s="6"/>
      <c r="D202" s="6"/>
      <c r="E202" s="6"/>
      <c r="F202" s="6"/>
      <c r="G202" s="6"/>
      <c r="H202" s="6"/>
      <c r="I202" s="6"/>
      <c r="J202" s="6"/>
      <c r="K202" s="6"/>
      <c r="L202" s="6"/>
      <c r="M202" s="6"/>
      <c r="N202" s="6"/>
      <c r="O202" s="6"/>
      <c r="P202" s="6"/>
      <c r="Q202" s="6"/>
      <c r="R202" s="6"/>
      <c r="S202" s="6"/>
      <c r="T202" s="6"/>
      <c r="U202" s="6"/>
      <c r="V202" s="6"/>
      <c r="W202" s="6"/>
      <c r="X202" s="6"/>
      <c r="Y202" s="6"/>
      <c r="Z202" s="6"/>
      <c r="AA202" s="6"/>
    </row>
    <row r="203" spans="1:27" ht="14.25">
      <c r="A203" s="6"/>
      <c r="B203" s="6"/>
      <c r="C203" s="6"/>
      <c r="D203" s="6"/>
      <c r="E203" s="6"/>
      <c r="F203" s="6"/>
      <c r="G203" s="6"/>
      <c r="H203" s="6"/>
      <c r="I203" s="6"/>
      <c r="J203" s="6"/>
      <c r="K203" s="6"/>
      <c r="L203" s="6"/>
      <c r="M203" s="6"/>
      <c r="N203" s="6"/>
      <c r="O203" s="6"/>
      <c r="P203" s="6"/>
      <c r="Q203" s="6"/>
      <c r="R203" s="6"/>
      <c r="S203" s="6"/>
      <c r="T203" s="6"/>
      <c r="U203" s="6"/>
      <c r="V203" s="6"/>
      <c r="W203" s="6"/>
      <c r="X203" s="6"/>
      <c r="Y203" s="6"/>
      <c r="Z203" s="6"/>
      <c r="AA203" s="6"/>
    </row>
    <row r="204" spans="1:27" ht="14.25">
      <c r="A204" s="6"/>
      <c r="B204" s="6"/>
      <c r="C204" s="6"/>
      <c r="D204" s="6"/>
      <c r="E204" s="6"/>
      <c r="F204" s="6"/>
      <c r="G204" s="6"/>
      <c r="H204" s="6"/>
      <c r="I204" s="6"/>
      <c r="J204" s="6"/>
      <c r="K204" s="6"/>
      <c r="L204" s="6"/>
      <c r="M204" s="6"/>
      <c r="N204" s="6"/>
      <c r="O204" s="6"/>
      <c r="P204" s="6"/>
      <c r="Q204" s="6"/>
      <c r="R204" s="6"/>
      <c r="S204" s="6"/>
      <c r="T204" s="6"/>
      <c r="U204" s="6"/>
      <c r="V204" s="6"/>
      <c r="W204" s="6"/>
      <c r="X204" s="6"/>
      <c r="Y204" s="6"/>
      <c r="Z204" s="6"/>
      <c r="AA204" s="6"/>
    </row>
    <row r="205" spans="1:27" ht="14.25">
      <c r="A205" s="6"/>
      <c r="B205" s="6"/>
      <c r="C205" s="6"/>
      <c r="D205" s="6"/>
      <c r="E205" s="6"/>
      <c r="F205" s="6"/>
      <c r="G205" s="6"/>
      <c r="H205" s="6"/>
      <c r="I205" s="6"/>
      <c r="J205" s="6"/>
      <c r="K205" s="6"/>
      <c r="L205" s="6"/>
      <c r="M205" s="6"/>
      <c r="N205" s="6"/>
      <c r="O205" s="6"/>
      <c r="P205" s="6"/>
      <c r="Q205" s="6"/>
      <c r="R205" s="6"/>
      <c r="S205" s="6"/>
      <c r="T205" s="6"/>
      <c r="U205" s="6"/>
      <c r="V205" s="6"/>
      <c r="W205" s="6"/>
      <c r="X205" s="6"/>
      <c r="Y205" s="6"/>
      <c r="Z205" s="6"/>
      <c r="AA205" s="6"/>
    </row>
    <row r="206" spans="1:27" ht="14.25">
      <c r="A206" s="6"/>
      <c r="B206" s="6"/>
      <c r="C206" s="6"/>
      <c r="D206" s="6"/>
      <c r="E206" s="6"/>
      <c r="F206" s="6"/>
      <c r="G206" s="6"/>
      <c r="H206" s="6"/>
      <c r="I206" s="6"/>
      <c r="J206" s="6"/>
      <c r="K206" s="6"/>
      <c r="L206" s="6"/>
      <c r="M206" s="6"/>
      <c r="N206" s="6"/>
      <c r="O206" s="6"/>
      <c r="P206" s="6"/>
      <c r="Q206" s="6"/>
      <c r="R206" s="6"/>
      <c r="S206" s="6"/>
      <c r="T206" s="6"/>
      <c r="U206" s="6"/>
      <c r="V206" s="6"/>
      <c r="W206" s="6"/>
      <c r="X206" s="6"/>
      <c r="Y206" s="6"/>
      <c r="Z206" s="6"/>
      <c r="AA206" s="6"/>
    </row>
    <row r="207" spans="1:27" ht="14.25">
      <c r="A207" s="6"/>
      <c r="B207" s="6"/>
      <c r="C207" s="6"/>
      <c r="D207" s="6"/>
      <c r="E207" s="6"/>
      <c r="F207" s="6"/>
      <c r="G207" s="6"/>
      <c r="H207" s="6"/>
      <c r="I207" s="6"/>
      <c r="J207" s="6"/>
      <c r="K207" s="6"/>
      <c r="L207" s="6"/>
      <c r="M207" s="6"/>
      <c r="N207" s="6"/>
      <c r="O207" s="6"/>
      <c r="P207" s="6"/>
      <c r="Q207" s="6"/>
      <c r="R207" s="6"/>
      <c r="S207" s="6"/>
      <c r="T207" s="6"/>
      <c r="U207" s="6"/>
      <c r="V207" s="6"/>
      <c r="W207" s="6"/>
      <c r="X207" s="6"/>
      <c r="Y207" s="6"/>
      <c r="Z207" s="6"/>
      <c r="AA207" s="6"/>
    </row>
    <row r="208" spans="1:27" ht="14.25">
      <c r="A208" s="6"/>
      <c r="B208" s="6"/>
      <c r="C208" s="6"/>
      <c r="D208" s="6"/>
      <c r="E208" s="6"/>
      <c r="F208" s="6"/>
      <c r="G208" s="6"/>
      <c r="H208" s="6"/>
      <c r="I208" s="6"/>
      <c r="J208" s="6"/>
      <c r="K208" s="6"/>
      <c r="L208" s="6"/>
      <c r="M208" s="6"/>
      <c r="N208" s="6"/>
      <c r="O208" s="6"/>
      <c r="P208" s="6"/>
      <c r="Q208" s="6"/>
      <c r="R208" s="6"/>
      <c r="S208" s="6"/>
      <c r="T208" s="6"/>
      <c r="U208" s="6"/>
      <c r="V208" s="6"/>
      <c r="W208" s="6"/>
      <c r="X208" s="6"/>
      <c r="Y208" s="6"/>
      <c r="Z208" s="6"/>
      <c r="AA208" s="6"/>
    </row>
    <row r="209" spans="1:27" ht="14.25">
      <c r="A209" s="6"/>
      <c r="B209" s="6"/>
      <c r="C209" s="6"/>
      <c r="D209" s="6"/>
      <c r="E209" s="6"/>
      <c r="F209" s="6"/>
      <c r="G209" s="6"/>
      <c r="H209" s="6"/>
      <c r="I209" s="6"/>
      <c r="J209" s="6"/>
      <c r="K209" s="6"/>
      <c r="L209" s="6"/>
      <c r="M209" s="6"/>
      <c r="N209" s="6"/>
      <c r="O209" s="6"/>
      <c r="P209" s="6"/>
      <c r="Q209" s="6"/>
      <c r="R209" s="6"/>
      <c r="S209" s="6"/>
      <c r="T209" s="6"/>
      <c r="U209" s="6"/>
      <c r="V209" s="6"/>
      <c r="W209" s="6"/>
      <c r="X209" s="6"/>
      <c r="Y209" s="6"/>
      <c r="Z209" s="6"/>
      <c r="AA209" s="6"/>
    </row>
    <row r="210" spans="1:27" ht="14.25">
      <c r="A210" s="6"/>
      <c r="B210" s="6"/>
      <c r="C210" s="6"/>
      <c r="D210" s="6"/>
      <c r="E210" s="6"/>
      <c r="F210" s="6"/>
      <c r="G210" s="6"/>
      <c r="H210" s="6"/>
      <c r="I210" s="6"/>
      <c r="J210" s="6"/>
      <c r="K210" s="6"/>
      <c r="L210" s="6"/>
      <c r="M210" s="6"/>
      <c r="N210" s="6"/>
      <c r="O210" s="6"/>
      <c r="P210" s="6"/>
      <c r="Q210" s="6"/>
      <c r="R210" s="6"/>
      <c r="S210" s="6"/>
      <c r="T210" s="6"/>
      <c r="U210" s="6"/>
      <c r="V210" s="6"/>
      <c r="W210" s="6"/>
      <c r="X210" s="6"/>
      <c r="Y210" s="6"/>
      <c r="Z210" s="6"/>
      <c r="AA210" s="6"/>
    </row>
    <row r="211" spans="1:27" ht="14.25">
      <c r="A211" s="6"/>
      <c r="B211" s="6"/>
      <c r="C211" s="6"/>
      <c r="D211" s="6"/>
      <c r="E211" s="6"/>
      <c r="F211" s="6"/>
      <c r="G211" s="6"/>
      <c r="H211" s="6"/>
      <c r="I211" s="6"/>
      <c r="J211" s="6"/>
      <c r="K211" s="6"/>
      <c r="L211" s="6"/>
      <c r="M211" s="6"/>
      <c r="N211" s="6"/>
      <c r="O211" s="6"/>
      <c r="P211" s="6"/>
      <c r="Q211" s="6"/>
      <c r="R211" s="6"/>
      <c r="S211" s="6"/>
      <c r="T211" s="6"/>
      <c r="U211" s="6"/>
      <c r="V211" s="6"/>
      <c r="W211" s="6"/>
      <c r="X211" s="6"/>
      <c r="Y211" s="6"/>
      <c r="Z211" s="6"/>
      <c r="AA211" s="6"/>
    </row>
    <row r="212" spans="1:27" ht="14.25">
      <c r="A212" s="6"/>
      <c r="B212" s="6"/>
      <c r="C212" s="6"/>
      <c r="D212" s="6"/>
      <c r="E212" s="6"/>
      <c r="F212" s="6"/>
      <c r="G212" s="6"/>
      <c r="H212" s="6"/>
      <c r="I212" s="6"/>
      <c r="J212" s="6"/>
      <c r="K212" s="6"/>
      <c r="L212" s="6"/>
      <c r="M212" s="6"/>
      <c r="N212" s="6"/>
      <c r="O212" s="6"/>
      <c r="P212" s="6"/>
      <c r="Q212" s="6"/>
      <c r="R212" s="6"/>
      <c r="S212" s="6"/>
      <c r="T212" s="6"/>
      <c r="U212" s="6"/>
      <c r="V212" s="6"/>
      <c r="W212" s="6"/>
      <c r="X212" s="6"/>
      <c r="Y212" s="6"/>
      <c r="Z212" s="6"/>
      <c r="AA212" s="6"/>
    </row>
    <row r="213" spans="1:27" ht="14.25">
      <c r="A213" s="6"/>
      <c r="B213" s="6"/>
      <c r="C213" s="6"/>
      <c r="D213" s="6"/>
      <c r="E213" s="6"/>
      <c r="F213" s="6"/>
      <c r="G213" s="6"/>
      <c r="H213" s="6"/>
      <c r="I213" s="6"/>
      <c r="J213" s="6"/>
      <c r="K213" s="6"/>
      <c r="L213" s="6"/>
      <c r="M213" s="6"/>
      <c r="N213" s="6"/>
      <c r="O213" s="6"/>
      <c r="P213" s="6"/>
      <c r="Q213" s="6"/>
      <c r="R213" s="6"/>
      <c r="S213" s="6"/>
      <c r="T213" s="6"/>
      <c r="U213" s="6"/>
      <c r="V213" s="6"/>
      <c r="W213" s="6"/>
      <c r="X213" s="6"/>
      <c r="Y213" s="6"/>
      <c r="Z213" s="6"/>
      <c r="AA213" s="6"/>
    </row>
    <row r="214" spans="1:27" ht="14.25">
      <c r="A214" s="6"/>
      <c r="B214" s="6"/>
      <c r="C214" s="6"/>
      <c r="D214" s="6"/>
      <c r="E214" s="6"/>
      <c r="F214" s="6"/>
      <c r="G214" s="6"/>
      <c r="H214" s="6"/>
      <c r="I214" s="6"/>
      <c r="J214" s="6"/>
      <c r="K214" s="6"/>
      <c r="L214" s="6"/>
      <c r="M214" s="6"/>
      <c r="N214" s="6"/>
      <c r="O214" s="6"/>
      <c r="P214" s="6"/>
      <c r="Q214" s="6"/>
      <c r="R214" s="6"/>
      <c r="S214" s="6"/>
      <c r="T214" s="6"/>
      <c r="U214" s="6"/>
      <c r="V214" s="6"/>
      <c r="W214" s="6"/>
      <c r="X214" s="6"/>
      <c r="Y214" s="6"/>
      <c r="Z214" s="6"/>
      <c r="AA214" s="6"/>
    </row>
    <row r="215" spans="1:27" ht="14.25">
      <c r="A215" s="6"/>
      <c r="B215" s="6"/>
      <c r="C215" s="6"/>
      <c r="D215" s="6"/>
      <c r="E215" s="6"/>
      <c r="F215" s="6"/>
      <c r="G215" s="6"/>
      <c r="H215" s="6"/>
      <c r="I215" s="6"/>
      <c r="J215" s="6"/>
      <c r="K215" s="6"/>
      <c r="L215" s="6"/>
      <c r="M215" s="6"/>
      <c r="N215" s="6"/>
      <c r="O215" s="6"/>
      <c r="P215" s="6"/>
      <c r="Q215" s="6"/>
      <c r="R215" s="6"/>
      <c r="S215" s="6"/>
      <c r="T215" s="6"/>
      <c r="U215" s="6"/>
      <c r="V215" s="6"/>
      <c r="W215" s="6"/>
      <c r="X215" s="6"/>
      <c r="Y215" s="6"/>
      <c r="Z215" s="6"/>
      <c r="AA215" s="6"/>
    </row>
    <row r="216" spans="1:27" ht="14.25">
      <c r="A216" s="6"/>
      <c r="B216" s="6"/>
      <c r="C216" s="6"/>
      <c r="D216" s="6"/>
      <c r="E216" s="6"/>
      <c r="F216" s="6"/>
      <c r="G216" s="6"/>
      <c r="H216" s="6"/>
      <c r="I216" s="6"/>
      <c r="J216" s="6"/>
      <c r="K216" s="6"/>
      <c r="L216" s="6"/>
      <c r="M216" s="6"/>
      <c r="N216" s="6"/>
      <c r="O216" s="6"/>
      <c r="P216" s="6"/>
      <c r="Q216" s="6"/>
      <c r="R216" s="6"/>
      <c r="S216" s="6"/>
      <c r="T216" s="6"/>
      <c r="U216" s="6"/>
      <c r="V216" s="6"/>
      <c r="W216" s="6"/>
      <c r="X216" s="6"/>
      <c r="Y216" s="6"/>
      <c r="Z216" s="6"/>
      <c r="AA216" s="6"/>
    </row>
    <row r="217" spans="1:27" ht="14.25">
      <c r="A217" s="6"/>
      <c r="B217" s="6"/>
      <c r="C217" s="6"/>
      <c r="D217" s="6"/>
      <c r="E217" s="6"/>
      <c r="F217" s="6"/>
      <c r="G217" s="6"/>
      <c r="H217" s="6"/>
      <c r="I217" s="6"/>
      <c r="J217" s="6"/>
      <c r="K217" s="6"/>
      <c r="L217" s="6"/>
      <c r="M217" s="6"/>
      <c r="N217" s="6"/>
      <c r="O217" s="6"/>
      <c r="P217" s="6"/>
      <c r="Q217" s="6"/>
      <c r="R217" s="6"/>
      <c r="S217" s="6"/>
      <c r="T217" s="6"/>
      <c r="U217" s="6"/>
      <c r="V217" s="6"/>
      <c r="W217" s="6"/>
      <c r="X217" s="6"/>
      <c r="Y217" s="6"/>
      <c r="Z217" s="6"/>
      <c r="AA217" s="6"/>
    </row>
    <row r="218" spans="1:27" ht="14.25">
      <c r="A218" s="6"/>
      <c r="B218" s="6"/>
      <c r="C218" s="6"/>
      <c r="D218" s="6"/>
      <c r="E218" s="6"/>
      <c r="F218" s="6"/>
      <c r="G218" s="6"/>
      <c r="H218" s="6"/>
      <c r="I218" s="6"/>
      <c r="J218" s="6"/>
      <c r="K218" s="6"/>
      <c r="L218" s="6"/>
      <c r="M218" s="6"/>
      <c r="N218" s="6"/>
      <c r="O218" s="6"/>
      <c r="P218" s="6"/>
      <c r="Q218" s="6"/>
      <c r="R218" s="6"/>
      <c r="S218" s="6"/>
      <c r="T218" s="6"/>
      <c r="U218" s="6"/>
      <c r="V218" s="6"/>
      <c r="W218" s="6"/>
      <c r="X218" s="6"/>
      <c r="Y218" s="6"/>
      <c r="Z218" s="6"/>
      <c r="AA218" s="6"/>
    </row>
    <row r="219" spans="1:27" ht="14.25">
      <c r="A219" s="6"/>
      <c r="B219" s="6"/>
      <c r="C219" s="6"/>
      <c r="D219" s="6"/>
      <c r="E219" s="6"/>
      <c r="F219" s="6"/>
      <c r="G219" s="6"/>
      <c r="H219" s="6"/>
      <c r="I219" s="6"/>
      <c r="J219" s="6"/>
      <c r="K219" s="6"/>
      <c r="L219" s="6"/>
      <c r="M219" s="6"/>
      <c r="N219" s="6"/>
      <c r="O219" s="6"/>
      <c r="P219" s="6"/>
      <c r="Q219" s="6"/>
      <c r="R219" s="6"/>
      <c r="S219" s="6"/>
      <c r="T219" s="6"/>
      <c r="U219" s="6"/>
      <c r="V219" s="6"/>
      <c r="W219" s="6"/>
      <c r="X219" s="6"/>
      <c r="Y219" s="6"/>
      <c r="Z219" s="6"/>
      <c r="AA219" s="6"/>
    </row>
    <row r="220" spans="1:27" ht="14.25">
      <c r="A220" s="6"/>
      <c r="B220" s="6"/>
      <c r="C220" s="6"/>
      <c r="D220" s="6"/>
      <c r="E220" s="6"/>
      <c r="F220" s="6"/>
      <c r="G220" s="6"/>
      <c r="H220" s="6"/>
      <c r="I220" s="6"/>
      <c r="J220" s="6"/>
      <c r="K220" s="6"/>
      <c r="L220" s="6"/>
      <c r="M220" s="6"/>
      <c r="N220" s="6"/>
      <c r="O220" s="6"/>
      <c r="P220" s="6"/>
      <c r="Q220" s="6"/>
      <c r="R220" s="6"/>
      <c r="S220" s="6"/>
      <c r="T220" s="6"/>
      <c r="U220" s="6"/>
      <c r="V220" s="6"/>
      <c r="W220" s="6"/>
      <c r="X220" s="6"/>
      <c r="Y220" s="6"/>
      <c r="Z220" s="6"/>
      <c r="AA220" s="6"/>
    </row>
    <row r="221" spans="1:27" ht="14.25">
      <c r="A221" s="6"/>
      <c r="B221" s="6"/>
      <c r="C221" s="6"/>
      <c r="D221" s="6"/>
      <c r="E221" s="6"/>
      <c r="F221" s="6"/>
      <c r="G221" s="6"/>
      <c r="H221" s="6"/>
      <c r="I221" s="6"/>
      <c r="J221" s="6"/>
      <c r="K221" s="6"/>
      <c r="L221" s="6"/>
      <c r="M221" s="6"/>
      <c r="N221" s="6"/>
      <c r="O221" s="6"/>
      <c r="P221" s="6"/>
      <c r="Q221" s="6"/>
      <c r="R221" s="6"/>
      <c r="S221" s="6"/>
      <c r="T221" s="6"/>
      <c r="U221" s="6"/>
      <c r="V221" s="6"/>
      <c r="W221" s="6"/>
      <c r="X221" s="6"/>
      <c r="Y221" s="6"/>
      <c r="Z221" s="6"/>
      <c r="AA221" s="6"/>
    </row>
    <row r="222" spans="1:27" ht="14.25">
      <c r="A222" s="6"/>
      <c r="B222" s="6"/>
      <c r="C222" s="6"/>
      <c r="D222" s="6"/>
      <c r="E222" s="6"/>
      <c r="F222" s="6"/>
      <c r="G222" s="6"/>
      <c r="H222" s="6"/>
      <c r="I222" s="6"/>
      <c r="J222" s="6"/>
      <c r="K222" s="6"/>
      <c r="L222" s="6"/>
      <c r="M222" s="6"/>
      <c r="N222" s="6"/>
      <c r="O222" s="6"/>
      <c r="P222" s="6"/>
      <c r="Q222" s="6"/>
      <c r="R222" s="6"/>
      <c r="S222" s="6"/>
      <c r="T222" s="6"/>
      <c r="U222" s="6"/>
      <c r="V222" s="6"/>
      <c r="W222" s="6"/>
      <c r="X222" s="6"/>
      <c r="Y222" s="6"/>
      <c r="Z222" s="6"/>
      <c r="AA222" s="6"/>
    </row>
    <row r="223" spans="1:27" ht="14.25">
      <c r="A223" s="6"/>
      <c r="B223" s="6"/>
      <c r="C223" s="6"/>
      <c r="D223" s="6"/>
      <c r="E223" s="6"/>
      <c r="F223" s="6"/>
      <c r="G223" s="6"/>
      <c r="H223" s="6"/>
      <c r="I223" s="6"/>
      <c r="J223" s="6"/>
      <c r="K223" s="6"/>
      <c r="L223" s="6"/>
      <c r="M223" s="6"/>
      <c r="N223" s="6"/>
      <c r="O223" s="6"/>
      <c r="P223" s="6"/>
      <c r="Q223" s="6"/>
      <c r="R223" s="6"/>
      <c r="S223" s="6"/>
      <c r="T223" s="6"/>
      <c r="U223" s="6"/>
      <c r="V223" s="6"/>
      <c r="W223" s="6"/>
      <c r="X223" s="6"/>
      <c r="Y223" s="6"/>
      <c r="Z223" s="6"/>
      <c r="AA223" s="6"/>
    </row>
    <row r="224" spans="1:27" ht="14.25">
      <c r="A224" s="6"/>
      <c r="B224" s="6"/>
      <c r="C224" s="6"/>
      <c r="D224" s="6"/>
      <c r="E224" s="6"/>
      <c r="F224" s="6"/>
      <c r="G224" s="6"/>
      <c r="H224" s="6"/>
      <c r="I224" s="6"/>
      <c r="J224" s="6"/>
      <c r="K224" s="6"/>
      <c r="L224" s="6"/>
      <c r="M224" s="6"/>
      <c r="N224" s="6"/>
      <c r="O224" s="6"/>
      <c r="P224" s="6"/>
      <c r="Q224" s="6"/>
      <c r="R224" s="6"/>
      <c r="S224" s="6"/>
      <c r="T224" s="6"/>
      <c r="U224" s="6"/>
      <c r="V224" s="6"/>
      <c r="W224" s="6"/>
      <c r="X224" s="6"/>
      <c r="Y224" s="6"/>
      <c r="Z224" s="6"/>
      <c r="AA224" s="6"/>
    </row>
    <row r="225" spans="1:27" ht="14.25">
      <c r="A225" s="6"/>
      <c r="B225" s="6"/>
      <c r="C225" s="6"/>
      <c r="D225" s="6"/>
      <c r="E225" s="6"/>
      <c r="F225" s="6"/>
      <c r="G225" s="6"/>
      <c r="H225" s="6"/>
      <c r="I225" s="6"/>
      <c r="J225" s="6"/>
      <c r="K225" s="6"/>
      <c r="L225" s="6"/>
      <c r="M225" s="6"/>
      <c r="N225" s="6"/>
      <c r="O225" s="6"/>
      <c r="P225" s="6"/>
      <c r="Q225" s="6"/>
      <c r="R225" s="6"/>
      <c r="S225" s="6"/>
      <c r="T225" s="6"/>
      <c r="U225" s="6"/>
      <c r="V225" s="6"/>
      <c r="W225" s="6"/>
      <c r="X225" s="6"/>
      <c r="Y225" s="6"/>
      <c r="Z225" s="6"/>
      <c r="AA225" s="6"/>
    </row>
    <row r="226" spans="1:27" ht="14.25">
      <c r="A226" s="6"/>
      <c r="B226" s="6"/>
      <c r="C226" s="6"/>
      <c r="D226" s="6"/>
      <c r="E226" s="6"/>
      <c r="F226" s="6"/>
      <c r="G226" s="6"/>
      <c r="H226" s="6"/>
      <c r="I226" s="6"/>
      <c r="J226" s="6"/>
      <c r="K226" s="6"/>
      <c r="L226" s="6"/>
      <c r="M226" s="6"/>
      <c r="N226" s="6"/>
      <c r="O226" s="6"/>
      <c r="P226" s="6"/>
      <c r="Q226" s="6"/>
      <c r="R226" s="6"/>
      <c r="S226" s="6"/>
      <c r="T226" s="6"/>
      <c r="U226" s="6"/>
      <c r="V226" s="6"/>
      <c r="W226" s="6"/>
      <c r="X226" s="6"/>
      <c r="Y226" s="6"/>
      <c r="Z226" s="6"/>
      <c r="AA226" s="6"/>
    </row>
    <row r="227" spans="1:27" ht="14.25">
      <c r="A227" s="6"/>
      <c r="B227" s="6"/>
      <c r="C227" s="6"/>
      <c r="D227" s="6"/>
      <c r="E227" s="6"/>
      <c r="F227" s="6"/>
      <c r="G227" s="6"/>
      <c r="H227" s="6"/>
      <c r="I227" s="6"/>
      <c r="J227" s="6"/>
      <c r="K227" s="6"/>
      <c r="L227" s="6"/>
      <c r="M227" s="6"/>
      <c r="N227" s="6"/>
      <c r="O227" s="6"/>
      <c r="P227" s="6"/>
      <c r="Q227" s="6"/>
      <c r="R227" s="6"/>
      <c r="S227" s="6"/>
      <c r="T227" s="6"/>
      <c r="U227" s="6"/>
      <c r="V227" s="6"/>
      <c r="W227" s="6"/>
      <c r="X227" s="6"/>
      <c r="Y227" s="6"/>
      <c r="Z227" s="6"/>
      <c r="AA227" s="6"/>
    </row>
    <row r="228" spans="1:27" ht="14.25">
      <c r="A228" s="6"/>
      <c r="B228" s="6"/>
      <c r="C228" s="6"/>
      <c r="D228" s="6"/>
      <c r="E228" s="6"/>
      <c r="F228" s="6"/>
      <c r="G228" s="6"/>
      <c r="H228" s="6"/>
      <c r="I228" s="6"/>
      <c r="J228" s="6"/>
      <c r="K228" s="6"/>
      <c r="L228" s="6"/>
      <c r="M228" s="6"/>
      <c r="N228" s="6"/>
      <c r="O228" s="6"/>
      <c r="P228" s="6"/>
      <c r="Q228" s="6"/>
      <c r="R228" s="6"/>
      <c r="S228" s="6"/>
      <c r="T228" s="6"/>
      <c r="U228" s="6"/>
      <c r="V228" s="6"/>
      <c r="W228" s="6"/>
      <c r="X228" s="6"/>
      <c r="Y228" s="6"/>
      <c r="Z228" s="6"/>
      <c r="AA228" s="6"/>
    </row>
    <row r="229" spans="1:27" ht="14.25">
      <c r="A229" s="6"/>
      <c r="B229" s="6"/>
      <c r="C229" s="6"/>
      <c r="D229" s="6"/>
      <c r="E229" s="6"/>
      <c r="F229" s="6"/>
      <c r="G229" s="6"/>
      <c r="H229" s="6"/>
      <c r="I229" s="6"/>
      <c r="J229" s="6"/>
      <c r="K229" s="6"/>
      <c r="L229" s="6"/>
      <c r="M229" s="6"/>
      <c r="N229" s="6"/>
      <c r="O229" s="6"/>
      <c r="P229" s="6"/>
      <c r="Q229" s="6"/>
      <c r="R229" s="6"/>
      <c r="S229" s="6"/>
      <c r="T229" s="6"/>
      <c r="U229" s="6"/>
      <c r="V229" s="6"/>
      <c r="W229" s="6"/>
      <c r="X229" s="6"/>
      <c r="Y229" s="6"/>
      <c r="Z229" s="6"/>
      <c r="AA229" s="6"/>
    </row>
    <row r="230" spans="1:27" ht="14.25">
      <c r="A230" s="6"/>
      <c r="B230" s="6"/>
      <c r="C230" s="6"/>
      <c r="D230" s="6"/>
      <c r="E230" s="6"/>
      <c r="F230" s="6"/>
      <c r="G230" s="6"/>
      <c r="H230" s="6"/>
      <c r="I230" s="6"/>
      <c r="J230" s="6"/>
      <c r="K230" s="6"/>
      <c r="L230" s="6"/>
      <c r="M230" s="6"/>
      <c r="N230" s="6"/>
      <c r="O230" s="6"/>
      <c r="P230" s="6"/>
      <c r="Q230" s="6"/>
      <c r="R230" s="6"/>
      <c r="S230" s="6"/>
      <c r="T230" s="6"/>
      <c r="U230" s="6"/>
      <c r="V230" s="6"/>
      <c r="W230" s="6"/>
      <c r="X230" s="6"/>
      <c r="Y230" s="6"/>
      <c r="Z230" s="6"/>
      <c r="AA230" s="6"/>
    </row>
    <row r="231" spans="1:27" ht="14.25">
      <c r="A231" s="6"/>
      <c r="B231" s="6"/>
      <c r="C231" s="6"/>
      <c r="D231" s="6"/>
      <c r="E231" s="6"/>
      <c r="F231" s="6"/>
      <c r="G231" s="6"/>
      <c r="H231" s="6"/>
      <c r="I231" s="6"/>
      <c r="J231" s="6"/>
      <c r="K231" s="6"/>
      <c r="L231" s="6"/>
      <c r="M231" s="6"/>
      <c r="N231" s="6"/>
      <c r="O231" s="6"/>
      <c r="P231" s="6"/>
      <c r="Q231" s="6"/>
      <c r="R231" s="6"/>
      <c r="S231" s="6"/>
      <c r="T231" s="6"/>
      <c r="U231" s="6"/>
      <c r="V231" s="6"/>
      <c r="W231" s="6"/>
      <c r="X231" s="6"/>
      <c r="Y231" s="6"/>
      <c r="Z231" s="6"/>
      <c r="AA231" s="6"/>
    </row>
    <row r="232" spans="1:27" ht="14.25">
      <c r="A232" s="6"/>
      <c r="B232" s="6"/>
      <c r="C232" s="6"/>
      <c r="D232" s="6"/>
      <c r="E232" s="6"/>
      <c r="F232" s="6"/>
      <c r="G232" s="6"/>
      <c r="H232" s="6"/>
      <c r="I232" s="6"/>
      <c r="J232" s="6"/>
      <c r="K232" s="6"/>
      <c r="L232" s="6"/>
      <c r="M232" s="6"/>
      <c r="N232" s="6"/>
      <c r="O232" s="6"/>
      <c r="P232" s="6"/>
      <c r="Q232" s="6"/>
      <c r="R232" s="6"/>
      <c r="S232" s="6"/>
      <c r="T232" s="6"/>
      <c r="U232" s="6"/>
      <c r="V232" s="6"/>
      <c r="W232" s="6"/>
      <c r="X232" s="6"/>
      <c r="Y232" s="6"/>
      <c r="Z232" s="6"/>
      <c r="AA232" s="6"/>
    </row>
    <row r="233" spans="1:27" ht="14.25">
      <c r="A233" s="6"/>
      <c r="B233" s="6"/>
      <c r="C233" s="6"/>
      <c r="D233" s="6"/>
      <c r="E233" s="6"/>
      <c r="F233" s="6"/>
      <c r="G233" s="6"/>
      <c r="H233" s="6"/>
      <c r="I233" s="6"/>
      <c r="J233" s="6"/>
      <c r="K233" s="6"/>
      <c r="L233" s="6"/>
      <c r="M233" s="6"/>
      <c r="N233" s="6"/>
      <c r="O233" s="6"/>
      <c r="P233" s="6"/>
      <c r="Q233" s="6"/>
      <c r="R233" s="6"/>
      <c r="S233" s="6"/>
      <c r="T233" s="6"/>
      <c r="U233" s="6"/>
      <c r="V233" s="6"/>
      <c r="W233" s="6"/>
      <c r="X233" s="6"/>
      <c r="Y233" s="6"/>
      <c r="Z233" s="6"/>
      <c r="AA233" s="6"/>
    </row>
    <row r="234" spans="1:27" ht="14.25">
      <c r="A234" s="6"/>
      <c r="B234" s="6"/>
      <c r="C234" s="6"/>
      <c r="D234" s="6"/>
      <c r="E234" s="6"/>
      <c r="F234" s="6"/>
      <c r="G234" s="6"/>
      <c r="H234" s="6"/>
      <c r="I234" s="6"/>
      <c r="J234" s="6"/>
      <c r="K234" s="6"/>
      <c r="L234" s="6"/>
      <c r="M234" s="6"/>
      <c r="N234" s="6"/>
      <c r="O234" s="6"/>
      <c r="P234" s="6"/>
      <c r="Q234" s="6"/>
      <c r="R234" s="6"/>
      <c r="S234" s="6"/>
      <c r="T234" s="6"/>
      <c r="U234" s="6"/>
      <c r="V234" s="6"/>
      <c r="W234" s="6"/>
      <c r="X234" s="6"/>
      <c r="Y234" s="6"/>
      <c r="Z234" s="6"/>
      <c r="AA234" s="6"/>
    </row>
    <row r="235" spans="1:27" ht="14.25">
      <c r="A235" s="6"/>
      <c r="B235" s="6"/>
      <c r="C235" s="6"/>
      <c r="D235" s="6"/>
      <c r="E235" s="6"/>
      <c r="F235" s="6"/>
      <c r="G235" s="6"/>
      <c r="H235" s="6"/>
      <c r="I235" s="6"/>
      <c r="J235" s="6"/>
      <c r="K235" s="6"/>
      <c r="L235" s="6"/>
      <c r="M235" s="6"/>
      <c r="N235" s="6"/>
      <c r="O235" s="6"/>
      <c r="P235" s="6"/>
      <c r="Q235" s="6"/>
      <c r="R235" s="6"/>
      <c r="S235" s="6"/>
      <c r="T235" s="6"/>
      <c r="U235" s="6"/>
      <c r="V235" s="6"/>
      <c r="W235" s="6"/>
      <c r="X235" s="6"/>
      <c r="Y235" s="6"/>
      <c r="Z235" s="6"/>
      <c r="AA235" s="6"/>
    </row>
    <row r="236" spans="1:27" ht="14.25">
      <c r="A236" s="6"/>
      <c r="B236" s="6"/>
      <c r="C236" s="6"/>
      <c r="D236" s="6"/>
      <c r="E236" s="6"/>
      <c r="F236" s="6"/>
      <c r="G236" s="6"/>
      <c r="H236" s="6"/>
      <c r="I236" s="6"/>
      <c r="J236" s="6"/>
      <c r="K236" s="6"/>
      <c r="L236" s="6"/>
      <c r="M236" s="6"/>
      <c r="N236" s="6"/>
      <c r="O236" s="6"/>
      <c r="P236" s="6"/>
      <c r="Q236" s="6"/>
      <c r="R236" s="6"/>
      <c r="S236" s="6"/>
      <c r="T236" s="6"/>
      <c r="U236" s="6"/>
      <c r="V236" s="6"/>
      <c r="W236" s="6"/>
      <c r="X236" s="6"/>
      <c r="Y236" s="6"/>
      <c r="Z236" s="6"/>
      <c r="AA236" s="6"/>
    </row>
    <row r="237" spans="1:27" ht="14.25">
      <c r="A237" s="6"/>
      <c r="B237" s="6"/>
      <c r="C237" s="6"/>
      <c r="D237" s="6"/>
      <c r="E237" s="6"/>
      <c r="F237" s="6"/>
      <c r="G237" s="6"/>
      <c r="H237" s="6"/>
      <c r="I237" s="6"/>
      <c r="J237" s="6"/>
      <c r="K237" s="6"/>
      <c r="L237" s="6"/>
      <c r="M237" s="6"/>
      <c r="N237" s="6"/>
      <c r="O237" s="6"/>
      <c r="P237" s="6"/>
      <c r="Q237" s="6"/>
      <c r="R237" s="6"/>
      <c r="S237" s="6"/>
      <c r="T237" s="6"/>
      <c r="U237" s="6"/>
      <c r="V237" s="6"/>
      <c r="W237" s="6"/>
      <c r="X237" s="6"/>
      <c r="Y237" s="6"/>
      <c r="Z237" s="6"/>
      <c r="AA237" s="6"/>
    </row>
    <row r="238" spans="1:27" ht="14.25">
      <c r="A238" s="6"/>
      <c r="B238" s="6"/>
      <c r="C238" s="6"/>
      <c r="D238" s="6"/>
      <c r="E238" s="6"/>
      <c r="F238" s="6"/>
      <c r="G238" s="6"/>
      <c r="H238" s="6"/>
      <c r="I238" s="6"/>
      <c r="J238" s="6"/>
      <c r="K238" s="6"/>
      <c r="L238" s="6"/>
      <c r="M238" s="6"/>
      <c r="N238" s="6"/>
      <c r="O238" s="6"/>
      <c r="P238" s="6"/>
      <c r="Q238" s="6"/>
      <c r="R238" s="6"/>
      <c r="S238" s="6"/>
      <c r="T238" s="6"/>
      <c r="U238" s="6"/>
      <c r="V238" s="6"/>
      <c r="W238" s="6"/>
      <c r="X238" s="6"/>
      <c r="Y238" s="6"/>
      <c r="Z238" s="6"/>
      <c r="AA238" s="6"/>
    </row>
    <row r="239" spans="1:27" ht="14.25">
      <c r="A239" s="6"/>
      <c r="B239" s="6"/>
      <c r="C239" s="6"/>
      <c r="D239" s="6"/>
      <c r="E239" s="6"/>
      <c r="F239" s="6"/>
      <c r="G239" s="6"/>
      <c r="H239" s="6"/>
      <c r="I239" s="6"/>
      <c r="J239" s="6"/>
      <c r="K239" s="6"/>
      <c r="L239" s="6"/>
      <c r="M239" s="6"/>
      <c r="N239" s="6"/>
      <c r="O239" s="6"/>
      <c r="P239" s="6"/>
      <c r="Q239" s="6"/>
      <c r="R239" s="6"/>
      <c r="S239" s="6"/>
      <c r="T239" s="6"/>
      <c r="U239" s="6"/>
      <c r="V239" s="6"/>
      <c r="W239" s="6"/>
      <c r="X239" s="6"/>
      <c r="Y239" s="6"/>
      <c r="Z239" s="6"/>
      <c r="AA239" s="6"/>
    </row>
    <row r="240" spans="1:27" ht="14.25">
      <c r="A240" s="6"/>
      <c r="B240" s="6"/>
      <c r="C240" s="6"/>
      <c r="D240" s="6"/>
      <c r="E240" s="6"/>
      <c r="F240" s="6"/>
      <c r="G240" s="6"/>
      <c r="H240" s="6"/>
      <c r="I240" s="6"/>
      <c r="J240" s="6"/>
      <c r="K240" s="6"/>
      <c r="L240" s="6"/>
      <c r="M240" s="6"/>
      <c r="N240" s="6"/>
      <c r="O240" s="6"/>
      <c r="P240" s="6"/>
      <c r="Q240" s="6"/>
      <c r="R240" s="6"/>
      <c r="S240" s="6"/>
      <c r="T240" s="6"/>
      <c r="U240" s="6"/>
      <c r="V240" s="6"/>
      <c r="W240" s="6"/>
      <c r="X240" s="6"/>
      <c r="Y240" s="6"/>
      <c r="Z240" s="6"/>
      <c r="AA240" s="6"/>
    </row>
    <row r="241" spans="1:27" ht="14.25">
      <c r="A241" s="6"/>
      <c r="B241" s="6"/>
      <c r="C241" s="6"/>
      <c r="D241" s="6"/>
      <c r="E241" s="6"/>
      <c r="F241" s="6"/>
      <c r="G241" s="6"/>
      <c r="H241" s="6"/>
      <c r="I241" s="6"/>
      <c r="J241" s="6"/>
      <c r="K241" s="6"/>
      <c r="L241" s="6"/>
      <c r="M241" s="6"/>
      <c r="N241" s="6"/>
      <c r="O241" s="6"/>
      <c r="P241" s="6"/>
      <c r="Q241" s="6"/>
      <c r="R241" s="6"/>
      <c r="S241" s="6"/>
      <c r="T241" s="6"/>
      <c r="U241" s="6"/>
      <c r="V241" s="6"/>
      <c r="W241" s="6"/>
      <c r="X241" s="6"/>
      <c r="Y241" s="6"/>
      <c r="Z241" s="6"/>
      <c r="AA241" s="6"/>
    </row>
    <row r="242" spans="1:27" ht="14.25">
      <c r="A242" s="6"/>
      <c r="B242" s="6"/>
      <c r="C242" s="6"/>
      <c r="D242" s="6"/>
      <c r="E242" s="6"/>
      <c r="F242" s="6"/>
      <c r="G242" s="6"/>
      <c r="H242" s="6"/>
      <c r="I242" s="6"/>
      <c r="J242" s="6"/>
      <c r="K242" s="6"/>
      <c r="L242" s="6"/>
      <c r="M242" s="6"/>
      <c r="N242" s="6"/>
      <c r="O242" s="6"/>
      <c r="P242" s="6"/>
      <c r="Q242" s="6"/>
      <c r="R242" s="6"/>
      <c r="S242" s="6"/>
      <c r="T242" s="6"/>
      <c r="U242" s="6"/>
      <c r="V242" s="6"/>
      <c r="W242" s="6"/>
      <c r="X242" s="6"/>
      <c r="Y242" s="6"/>
      <c r="Z242" s="6"/>
      <c r="AA242" s="6"/>
    </row>
    <row r="243" spans="1:27" ht="14.25">
      <c r="A243" s="6"/>
      <c r="B243" s="6"/>
      <c r="C243" s="6"/>
      <c r="D243" s="6"/>
      <c r="E243" s="6"/>
      <c r="F243" s="6"/>
      <c r="G243" s="6"/>
      <c r="H243" s="6"/>
      <c r="I243" s="6"/>
      <c r="J243" s="6"/>
      <c r="K243" s="6"/>
      <c r="L243" s="6"/>
      <c r="M243" s="6"/>
      <c r="N243" s="6"/>
      <c r="O243" s="6"/>
      <c r="P243" s="6"/>
      <c r="Q243" s="6"/>
      <c r="R243" s="6"/>
      <c r="S243" s="6"/>
      <c r="T243" s="6"/>
      <c r="U243" s="6"/>
      <c r="V243" s="6"/>
      <c r="W243" s="6"/>
      <c r="X243" s="6"/>
      <c r="Y243" s="6"/>
      <c r="Z243" s="6"/>
      <c r="AA243" s="6"/>
    </row>
    <row r="244" spans="1:27" ht="14.25">
      <c r="A244" s="6"/>
      <c r="B244" s="6"/>
      <c r="C244" s="6"/>
      <c r="D244" s="6"/>
      <c r="E244" s="6"/>
      <c r="F244" s="6"/>
      <c r="G244" s="6"/>
      <c r="H244" s="6"/>
      <c r="I244" s="6"/>
      <c r="J244" s="6"/>
      <c r="K244" s="6"/>
      <c r="L244" s="6"/>
      <c r="M244" s="6"/>
      <c r="N244" s="6"/>
      <c r="O244" s="6"/>
      <c r="P244" s="6"/>
      <c r="Q244" s="6"/>
      <c r="R244" s="6"/>
      <c r="S244" s="6"/>
      <c r="T244" s="6"/>
      <c r="U244" s="6"/>
      <c r="V244" s="6"/>
      <c r="W244" s="6"/>
      <c r="X244" s="6"/>
      <c r="Y244" s="6"/>
      <c r="Z244" s="6"/>
      <c r="AA244" s="6"/>
    </row>
    <row r="245" spans="1:27" ht="14.25">
      <c r="A245" s="6"/>
      <c r="B245" s="6"/>
      <c r="C245" s="6"/>
      <c r="D245" s="6"/>
      <c r="E245" s="6"/>
      <c r="F245" s="6"/>
      <c r="G245" s="6"/>
      <c r="H245" s="6"/>
      <c r="I245" s="6"/>
      <c r="J245" s="6"/>
      <c r="K245" s="6"/>
      <c r="L245" s="6"/>
      <c r="M245" s="6"/>
      <c r="N245" s="6"/>
      <c r="O245" s="6"/>
      <c r="P245" s="6"/>
      <c r="Q245" s="6"/>
      <c r="R245" s="6"/>
      <c r="S245" s="6"/>
      <c r="T245" s="6"/>
      <c r="U245" s="6"/>
      <c r="V245" s="6"/>
      <c r="W245" s="6"/>
      <c r="X245" s="6"/>
      <c r="Y245" s="6"/>
      <c r="Z245" s="6"/>
      <c r="AA245" s="6"/>
    </row>
    <row r="246" spans="1:27" ht="14.25">
      <c r="A246" s="6"/>
      <c r="B246" s="6"/>
      <c r="C246" s="6"/>
      <c r="D246" s="6"/>
      <c r="E246" s="6"/>
      <c r="F246" s="6"/>
      <c r="G246" s="6"/>
      <c r="H246" s="6"/>
      <c r="I246" s="6"/>
      <c r="J246" s="6"/>
      <c r="K246" s="6"/>
      <c r="L246" s="6"/>
      <c r="M246" s="6"/>
      <c r="N246" s="6"/>
      <c r="O246" s="6"/>
      <c r="P246" s="6"/>
      <c r="Q246" s="6"/>
      <c r="R246" s="6"/>
      <c r="S246" s="6"/>
      <c r="T246" s="6"/>
      <c r="U246" s="6"/>
      <c r="V246" s="6"/>
      <c r="W246" s="6"/>
      <c r="X246" s="6"/>
      <c r="Y246" s="6"/>
      <c r="Z246" s="6"/>
      <c r="AA246" s="6"/>
    </row>
    <row r="247" spans="1:27" ht="14.25">
      <c r="A247" s="6"/>
      <c r="B247" s="6"/>
      <c r="C247" s="6"/>
      <c r="D247" s="6"/>
      <c r="E247" s="6"/>
      <c r="F247" s="6"/>
      <c r="G247" s="6"/>
      <c r="H247" s="6"/>
      <c r="I247" s="6"/>
      <c r="J247" s="6"/>
      <c r="K247" s="6"/>
      <c r="L247" s="6"/>
      <c r="M247" s="6"/>
      <c r="N247" s="6"/>
      <c r="O247" s="6"/>
      <c r="P247" s="6"/>
      <c r="Q247" s="6"/>
      <c r="R247" s="6"/>
      <c r="S247" s="6"/>
      <c r="T247" s="6"/>
      <c r="U247" s="6"/>
      <c r="V247" s="6"/>
      <c r="W247" s="6"/>
      <c r="X247" s="6"/>
      <c r="Y247" s="6"/>
      <c r="Z247" s="6"/>
      <c r="AA247" s="6"/>
    </row>
    <row r="248" spans="1:27" ht="14.25">
      <c r="A248" s="6"/>
      <c r="B248" s="6"/>
      <c r="C248" s="6"/>
      <c r="D248" s="6"/>
      <c r="E248" s="6"/>
      <c r="F248" s="6"/>
      <c r="G248" s="6"/>
      <c r="H248" s="6"/>
      <c r="I248" s="6"/>
      <c r="J248" s="6"/>
      <c r="K248" s="6"/>
      <c r="L248" s="6"/>
      <c r="M248" s="6"/>
      <c r="N248" s="6"/>
      <c r="O248" s="6"/>
      <c r="P248" s="6"/>
      <c r="Q248" s="6"/>
      <c r="R248" s="6"/>
      <c r="S248" s="6"/>
      <c r="T248" s="6"/>
      <c r="U248" s="6"/>
      <c r="V248" s="6"/>
      <c r="W248" s="6"/>
      <c r="X248" s="6"/>
      <c r="Y248" s="6"/>
      <c r="Z248" s="6"/>
      <c r="AA248" s="6"/>
    </row>
    <row r="249" spans="1:27" ht="14.25">
      <c r="A249" s="6"/>
      <c r="B249" s="6"/>
      <c r="C249" s="6"/>
      <c r="D249" s="6"/>
      <c r="E249" s="6"/>
      <c r="F249" s="6"/>
      <c r="G249" s="6"/>
      <c r="H249" s="6"/>
      <c r="I249" s="6"/>
      <c r="J249" s="6"/>
      <c r="K249" s="6"/>
      <c r="L249" s="6"/>
      <c r="M249" s="6"/>
      <c r="N249" s="6"/>
      <c r="O249" s="6"/>
      <c r="P249" s="6"/>
      <c r="Q249" s="6"/>
      <c r="R249" s="6"/>
      <c r="S249" s="6"/>
      <c r="T249" s="6"/>
      <c r="U249" s="6"/>
      <c r="V249" s="6"/>
      <c r="W249" s="6"/>
      <c r="X249" s="6"/>
      <c r="Y249" s="6"/>
      <c r="Z249" s="6"/>
      <c r="AA249" s="6"/>
    </row>
    <row r="250" spans="1:27" ht="14.25">
      <c r="A250" s="6"/>
      <c r="B250" s="6"/>
      <c r="C250" s="6"/>
      <c r="D250" s="6"/>
      <c r="E250" s="6"/>
      <c r="F250" s="6"/>
      <c r="G250" s="6"/>
      <c r="H250" s="6"/>
      <c r="I250" s="6"/>
      <c r="J250" s="6"/>
      <c r="K250" s="6"/>
      <c r="L250" s="6"/>
      <c r="M250" s="6"/>
      <c r="N250" s="6"/>
      <c r="O250" s="6"/>
      <c r="P250" s="6"/>
      <c r="Q250" s="6"/>
      <c r="R250" s="6"/>
      <c r="S250" s="6"/>
      <c r="T250" s="6"/>
      <c r="U250" s="6"/>
      <c r="V250" s="6"/>
      <c r="W250" s="6"/>
      <c r="X250" s="6"/>
      <c r="Y250" s="6"/>
      <c r="Z250" s="6"/>
      <c r="AA250" s="6"/>
    </row>
    <row r="251" spans="1:27" ht="14.25">
      <c r="A251" s="6"/>
      <c r="B251" s="6"/>
      <c r="C251" s="6"/>
      <c r="D251" s="6"/>
      <c r="E251" s="6"/>
      <c r="F251" s="6"/>
      <c r="G251" s="6"/>
      <c r="H251" s="6"/>
      <c r="I251" s="6"/>
      <c r="J251" s="6"/>
      <c r="K251" s="6"/>
      <c r="L251" s="6"/>
      <c r="M251" s="6"/>
      <c r="N251" s="6"/>
      <c r="O251" s="6"/>
      <c r="P251" s="6"/>
      <c r="Q251" s="6"/>
      <c r="R251" s="6"/>
      <c r="S251" s="6"/>
      <c r="T251" s="6"/>
      <c r="U251" s="6"/>
      <c r="V251" s="6"/>
      <c r="W251" s="6"/>
      <c r="X251" s="6"/>
      <c r="Y251" s="6"/>
      <c r="Z251" s="6"/>
      <c r="AA251" s="6"/>
    </row>
    <row r="252" spans="1:27" ht="14.25">
      <c r="A252" s="6"/>
      <c r="B252" s="6"/>
      <c r="C252" s="6"/>
      <c r="D252" s="6"/>
      <c r="E252" s="6"/>
      <c r="F252" s="6"/>
      <c r="G252" s="6"/>
      <c r="H252" s="6"/>
      <c r="I252" s="6"/>
      <c r="J252" s="6"/>
      <c r="K252" s="6"/>
      <c r="L252" s="6"/>
      <c r="M252" s="6"/>
      <c r="N252" s="6"/>
      <c r="O252" s="6"/>
      <c r="P252" s="6"/>
      <c r="Q252" s="6"/>
      <c r="R252" s="6"/>
      <c r="S252" s="6"/>
      <c r="T252" s="6"/>
      <c r="U252" s="6"/>
      <c r="V252" s="6"/>
      <c r="W252" s="6"/>
      <c r="X252" s="6"/>
      <c r="Y252" s="6"/>
      <c r="Z252" s="6"/>
      <c r="AA252" s="6"/>
    </row>
    <row r="253" spans="1:27" ht="14.25">
      <c r="A253" s="6"/>
      <c r="B253" s="6"/>
      <c r="C253" s="6"/>
      <c r="D253" s="6"/>
      <c r="E253" s="6"/>
      <c r="F253" s="6"/>
      <c r="G253" s="6"/>
      <c r="H253" s="6"/>
      <c r="I253" s="6"/>
      <c r="J253" s="6"/>
      <c r="K253" s="6"/>
      <c r="L253" s="6"/>
      <c r="M253" s="6"/>
      <c r="N253" s="6"/>
      <c r="O253" s="6"/>
      <c r="P253" s="6"/>
      <c r="Q253" s="6"/>
      <c r="R253" s="6"/>
      <c r="S253" s="6"/>
      <c r="T253" s="6"/>
      <c r="U253" s="6"/>
      <c r="V253" s="6"/>
      <c r="W253" s="6"/>
      <c r="X253" s="6"/>
      <c r="Y253" s="6"/>
      <c r="Z253" s="6"/>
      <c r="AA253" s="6"/>
    </row>
    <row r="254" spans="1:27" ht="14.25">
      <c r="A254" s="6"/>
      <c r="B254" s="6"/>
      <c r="C254" s="6"/>
      <c r="D254" s="6"/>
      <c r="E254" s="6"/>
      <c r="F254" s="6"/>
      <c r="G254" s="6"/>
      <c r="H254" s="6"/>
      <c r="I254" s="6"/>
      <c r="J254" s="6"/>
      <c r="K254" s="6"/>
      <c r="L254" s="6"/>
      <c r="M254" s="6"/>
      <c r="N254" s="6"/>
      <c r="O254" s="6"/>
      <c r="P254" s="6"/>
      <c r="Q254" s="6"/>
      <c r="R254" s="6"/>
      <c r="S254" s="6"/>
      <c r="T254" s="6"/>
      <c r="U254" s="6"/>
      <c r="V254" s="6"/>
      <c r="W254" s="6"/>
      <c r="X254" s="6"/>
      <c r="Y254" s="6"/>
      <c r="Z254" s="6"/>
      <c r="AA254" s="6"/>
    </row>
    <row r="255" spans="1:27" ht="14.25">
      <c r="A255" s="6"/>
      <c r="B255" s="6"/>
      <c r="C255" s="6"/>
      <c r="D255" s="6"/>
      <c r="E255" s="6"/>
      <c r="F255" s="6"/>
      <c r="G255" s="6"/>
      <c r="H255" s="6"/>
      <c r="I255" s="6"/>
      <c r="J255" s="6"/>
      <c r="K255" s="6"/>
      <c r="L255" s="6"/>
      <c r="M255" s="6"/>
      <c r="N255" s="6"/>
      <c r="O255" s="6"/>
      <c r="P255" s="6"/>
      <c r="Q255" s="6"/>
      <c r="R255" s="6"/>
      <c r="S255" s="6"/>
      <c r="T255" s="6"/>
      <c r="U255" s="6"/>
      <c r="V255" s="6"/>
      <c r="W255" s="6"/>
      <c r="X255" s="6"/>
      <c r="Y255" s="6"/>
      <c r="Z255" s="6"/>
      <c r="AA255" s="6"/>
    </row>
    <row r="256" spans="1:27" ht="14.25">
      <c r="A256" s="6"/>
      <c r="B256" s="6"/>
      <c r="C256" s="6"/>
      <c r="D256" s="6"/>
      <c r="E256" s="6"/>
      <c r="F256" s="6"/>
      <c r="G256" s="6"/>
      <c r="H256" s="6"/>
      <c r="I256" s="6"/>
      <c r="J256" s="6"/>
      <c r="K256" s="6"/>
      <c r="L256" s="6"/>
      <c r="M256" s="6"/>
      <c r="N256" s="6"/>
      <c r="O256" s="6"/>
      <c r="P256" s="6"/>
      <c r="Q256" s="6"/>
      <c r="R256" s="6"/>
      <c r="S256" s="6"/>
      <c r="T256" s="6"/>
      <c r="U256" s="6"/>
      <c r="V256" s="6"/>
      <c r="W256" s="6"/>
      <c r="X256" s="6"/>
      <c r="Y256" s="6"/>
      <c r="Z256" s="6"/>
      <c r="AA256" s="6"/>
    </row>
    <row r="257" spans="1:27" ht="14.25">
      <c r="A257" s="6"/>
      <c r="B257" s="6"/>
      <c r="C257" s="6"/>
      <c r="D257" s="6"/>
      <c r="E257" s="6"/>
      <c r="F257" s="6"/>
      <c r="G257" s="6"/>
      <c r="H257" s="6"/>
      <c r="I257" s="6"/>
      <c r="J257" s="6"/>
      <c r="K257" s="6"/>
      <c r="L257" s="6"/>
      <c r="M257" s="6"/>
      <c r="N257" s="6"/>
      <c r="O257" s="6"/>
      <c r="P257" s="6"/>
      <c r="Q257" s="6"/>
      <c r="R257" s="6"/>
      <c r="S257" s="6"/>
      <c r="T257" s="6"/>
      <c r="U257" s="6"/>
      <c r="V257" s="6"/>
      <c r="W257" s="6"/>
      <c r="X257" s="6"/>
      <c r="Y257" s="6"/>
      <c r="Z257" s="6"/>
      <c r="AA257" s="6"/>
    </row>
    <row r="258" spans="1:27" ht="14.25">
      <c r="A258" s="6"/>
      <c r="B258" s="6"/>
      <c r="C258" s="6"/>
      <c r="D258" s="6"/>
      <c r="E258" s="6"/>
      <c r="F258" s="6"/>
      <c r="G258" s="6"/>
      <c r="H258" s="6"/>
      <c r="I258" s="6"/>
      <c r="J258" s="6"/>
      <c r="K258" s="6"/>
      <c r="L258" s="6"/>
      <c r="M258" s="6"/>
      <c r="N258" s="6"/>
      <c r="O258" s="6"/>
      <c r="P258" s="6"/>
      <c r="Q258" s="6"/>
      <c r="R258" s="6"/>
      <c r="S258" s="6"/>
      <c r="T258" s="6"/>
      <c r="U258" s="6"/>
      <c r="V258" s="6"/>
      <c r="W258" s="6"/>
      <c r="X258" s="6"/>
      <c r="Y258" s="6"/>
      <c r="Z258" s="6"/>
      <c r="AA258" s="6"/>
    </row>
    <row r="259" spans="1:27" ht="14.25">
      <c r="A259" s="6"/>
      <c r="B259" s="6"/>
      <c r="C259" s="6"/>
      <c r="D259" s="6"/>
      <c r="E259" s="6"/>
      <c r="F259" s="6"/>
      <c r="G259" s="6"/>
      <c r="H259" s="6"/>
      <c r="I259" s="6"/>
      <c r="J259" s="6"/>
      <c r="K259" s="6"/>
      <c r="L259" s="6"/>
      <c r="M259" s="6"/>
      <c r="N259" s="6"/>
      <c r="O259" s="6"/>
      <c r="P259" s="6"/>
      <c r="Q259" s="6"/>
      <c r="R259" s="6"/>
      <c r="S259" s="6"/>
      <c r="T259" s="6"/>
      <c r="U259" s="6"/>
      <c r="V259" s="6"/>
      <c r="W259" s="6"/>
      <c r="X259" s="6"/>
      <c r="Y259" s="6"/>
      <c r="Z259" s="6"/>
      <c r="AA259" s="6"/>
    </row>
    <row r="260" spans="1:27" ht="14.25">
      <c r="A260" s="6"/>
      <c r="B260" s="6"/>
      <c r="C260" s="6"/>
      <c r="D260" s="6"/>
      <c r="E260" s="6"/>
      <c r="F260" s="6"/>
      <c r="G260" s="6"/>
      <c r="H260" s="6"/>
      <c r="I260" s="6"/>
      <c r="J260" s="6"/>
      <c r="K260" s="6"/>
      <c r="L260" s="6"/>
      <c r="M260" s="6"/>
      <c r="N260" s="6"/>
      <c r="O260" s="6"/>
      <c r="P260" s="6"/>
      <c r="Q260" s="6"/>
      <c r="R260" s="6"/>
      <c r="S260" s="6"/>
      <c r="T260" s="6"/>
      <c r="U260" s="6"/>
      <c r="V260" s="6"/>
      <c r="W260" s="6"/>
      <c r="X260" s="6"/>
      <c r="Y260" s="6"/>
      <c r="Z260" s="6"/>
      <c r="AA260" s="6"/>
    </row>
    <row r="261" spans="1:27" ht="14.25">
      <c r="A261" s="6"/>
      <c r="B261" s="6"/>
      <c r="C261" s="6"/>
      <c r="D261" s="6"/>
      <c r="E261" s="6"/>
      <c r="F261" s="6"/>
      <c r="G261" s="6"/>
      <c r="H261" s="6"/>
      <c r="I261" s="6"/>
      <c r="J261" s="6"/>
      <c r="K261" s="6"/>
      <c r="L261" s="6"/>
      <c r="M261" s="6"/>
      <c r="N261" s="6"/>
      <c r="O261" s="6"/>
      <c r="P261" s="6"/>
      <c r="Q261" s="6"/>
      <c r="R261" s="6"/>
      <c r="S261" s="6"/>
      <c r="T261" s="6"/>
      <c r="U261" s="6"/>
      <c r="V261" s="6"/>
      <c r="W261" s="6"/>
      <c r="X261" s="6"/>
      <c r="Y261" s="6"/>
      <c r="Z261" s="6"/>
      <c r="AA261" s="6"/>
    </row>
    <row r="262" spans="1:27" ht="14.25">
      <c r="A262" s="6"/>
      <c r="B262" s="6"/>
      <c r="C262" s="6"/>
      <c r="D262" s="6"/>
      <c r="E262" s="6"/>
      <c r="F262" s="6"/>
      <c r="G262" s="6"/>
      <c r="H262" s="6"/>
      <c r="I262" s="6"/>
      <c r="J262" s="6"/>
      <c r="K262" s="6"/>
      <c r="L262" s="6"/>
      <c r="M262" s="6"/>
      <c r="N262" s="6"/>
      <c r="O262" s="6"/>
      <c r="P262" s="6"/>
      <c r="Q262" s="6"/>
      <c r="R262" s="6"/>
      <c r="S262" s="6"/>
      <c r="T262" s="6"/>
      <c r="U262" s="6"/>
      <c r="V262" s="6"/>
      <c r="W262" s="6"/>
      <c r="X262" s="6"/>
      <c r="Y262" s="6"/>
      <c r="Z262" s="6"/>
      <c r="AA262" s="6"/>
    </row>
    <row r="263" spans="1:27" ht="14.25">
      <c r="A263" s="6"/>
      <c r="B263" s="6"/>
      <c r="C263" s="6"/>
      <c r="D263" s="6"/>
      <c r="E263" s="6"/>
      <c r="F263" s="6"/>
      <c r="G263" s="6"/>
      <c r="H263" s="6"/>
      <c r="I263" s="6"/>
      <c r="J263" s="6"/>
      <c r="K263" s="6"/>
      <c r="L263" s="6"/>
      <c r="M263" s="6"/>
      <c r="N263" s="6"/>
      <c r="O263" s="6"/>
      <c r="P263" s="6"/>
      <c r="Q263" s="6"/>
      <c r="R263" s="6"/>
      <c r="S263" s="6"/>
      <c r="T263" s="6"/>
      <c r="U263" s="6"/>
      <c r="V263" s="6"/>
      <c r="W263" s="6"/>
      <c r="X263" s="6"/>
      <c r="Y263" s="6"/>
      <c r="Z263" s="6"/>
      <c r="AA263" s="6"/>
    </row>
    <row r="264" spans="1:27" ht="14.25">
      <c r="A264" s="6"/>
      <c r="B264" s="6"/>
      <c r="C264" s="6"/>
      <c r="D264" s="6"/>
      <c r="E264" s="6"/>
      <c r="F264" s="6"/>
      <c r="G264" s="6"/>
      <c r="H264" s="6"/>
      <c r="I264" s="6"/>
      <c r="J264" s="6"/>
      <c r="K264" s="6"/>
      <c r="L264" s="6"/>
      <c r="M264" s="6"/>
      <c r="N264" s="6"/>
      <c r="O264" s="6"/>
      <c r="P264" s="6"/>
      <c r="Q264" s="6"/>
      <c r="R264" s="6"/>
      <c r="S264" s="6"/>
      <c r="T264" s="6"/>
      <c r="U264" s="6"/>
      <c r="V264" s="6"/>
      <c r="W264" s="6"/>
      <c r="X264" s="6"/>
      <c r="Y264" s="6"/>
      <c r="Z264" s="6"/>
      <c r="AA264" s="6"/>
    </row>
    <row r="265" spans="1:27" ht="14.25">
      <c r="A265" s="6"/>
      <c r="B265" s="6"/>
      <c r="C265" s="6"/>
      <c r="D265" s="6"/>
      <c r="E265" s="6"/>
      <c r="F265" s="6"/>
      <c r="G265" s="6"/>
      <c r="H265" s="6"/>
      <c r="I265" s="6"/>
      <c r="J265" s="6"/>
      <c r="K265" s="6"/>
      <c r="L265" s="6"/>
      <c r="M265" s="6"/>
      <c r="N265" s="6"/>
      <c r="O265" s="6"/>
      <c r="P265" s="6"/>
      <c r="Q265" s="6"/>
      <c r="R265" s="6"/>
      <c r="S265" s="6"/>
      <c r="T265" s="6"/>
      <c r="U265" s="6"/>
      <c r="V265" s="6"/>
      <c r="W265" s="6"/>
      <c r="X265" s="6"/>
      <c r="Y265" s="6"/>
      <c r="Z265" s="6"/>
      <c r="AA265" s="6"/>
    </row>
    <row r="266" spans="1:27" ht="14.25">
      <c r="A266" s="6"/>
      <c r="B266" s="6"/>
      <c r="C266" s="6"/>
      <c r="D266" s="6"/>
      <c r="E266" s="6"/>
      <c r="F266" s="6"/>
      <c r="G266" s="6"/>
      <c r="H266" s="6"/>
      <c r="I266" s="6"/>
      <c r="J266" s="6"/>
      <c r="K266" s="6"/>
      <c r="L266" s="6"/>
      <c r="M266" s="6"/>
      <c r="N266" s="6"/>
      <c r="O266" s="6"/>
      <c r="P266" s="6"/>
      <c r="Q266" s="6"/>
      <c r="R266" s="6"/>
      <c r="S266" s="6"/>
      <c r="T266" s="6"/>
      <c r="U266" s="6"/>
      <c r="V266" s="6"/>
      <c r="W266" s="6"/>
      <c r="X266" s="6"/>
      <c r="Y266" s="6"/>
      <c r="Z266" s="6"/>
      <c r="AA266" s="6"/>
    </row>
    <row r="267" spans="1:27" ht="14.25">
      <c r="A267" s="6"/>
      <c r="B267" s="6"/>
      <c r="C267" s="6"/>
      <c r="D267" s="6"/>
      <c r="E267" s="6"/>
      <c r="F267" s="6"/>
      <c r="G267" s="6"/>
      <c r="H267" s="6"/>
      <c r="I267" s="6"/>
      <c r="J267" s="6"/>
      <c r="K267" s="6"/>
      <c r="L267" s="6"/>
      <c r="M267" s="6"/>
      <c r="N267" s="6"/>
      <c r="O267" s="6"/>
      <c r="P267" s="6"/>
      <c r="Q267" s="6"/>
      <c r="R267" s="6"/>
      <c r="S267" s="6"/>
      <c r="T267" s="6"/>
      <c r="U267" s="6"/>
      <c r="V267" s="6"/>
      <c r="W267" s="6"/>
      <c r="X267" s="6"/>
      <c r="Y267" s="6"/>
      <c r="Z267" s="6"/>
      <c r="AA267" s="6"/>
    </row>
    <row r="268" spans="1:27" ht="14.25">
      <c r="A268" s="6"/>
      <c r="B268" s="6"/>
      <c r="C268" s="6"/>
      <c r="D268" s="6"/>
      <c r="E268" s="6"/>
      <c r="F268" s="6"/>
      <c r="G268" s="6"/>
      <c r="H268" s="6"/>
      <c r="I268" s="6"/>
      <c r="J268" s="6"/>
      <c r="K268" s="6"/>
      <c r="L268" s="6"/>
      <c r="M268" s="6"/>
      <c r="N268" s="6"/>
      <c r="O268" s="6"/>
      <c r="P268" s="6"/>
      <c r="Q268" s="6"/>
      <c r="R268" s="6"/>
      <c r="S268" s="6"/>
      <c r="T268" s="6"/>
      <c r="U268" s="6"/>
      <c r="V268" s="6"/>
      <c r="W268" s="6"/>
      <c r="X268" s="6"/>
      <c r="Y268" s="6"/>
      <c r="Z268" s="6"/>
      <c r="AA268" s="6"/>
    </row>
    <row r="269" spans="1:27" ht="14.25">
      <c r="A269" s="6"/>
      <c r="B269" s="6"/>
      <c r="C269" s="6"/>
      <c r="D269" s="6"/>
      <c r="E269" s="6"/>
      <c r="F269" s="6"/>
      <c r="G269" s="6"/>
      <c r="H269" s="6"/>
      <c r="I269" s="6"/>
      <c r="J269" s="6"/>
      <c r="K269" s="6"/>
      <c r="L269" s="6"/>
      <c r="M269" s="6"/>
      <c r="N269" s="6"/>
      <c r="O269" s="6"/>
      <c r="P269" s="6"/>
      <c r="Q269" s="6"/>
      <c r="R269" s="6"/>
      <c r="S269" s="6"/>
      <c r="T269" s="6"/>
      <c r="U269" s="6"/>
      <c r="V269" s="6"/>
      <c r="W269" s="6"/>
      <c r="X269" s="6"/>
      <c r="Y269" s="6"/>
      <c r="Z269" s="6"/>
      <c r="AA269" s="6"/>
    </row>
    <row r="270" spans="1:27" ht="14.25">
      <c r="A270" s="6"/>
      <c r="B270" s="6"/>
      <c r="C270" s="6"/>
      <c r="D270" s="6"/>
      <c r="E270" s="6"/>
      <c r="F270" s="6"/>
      <c r="G270" s="6"/>
      <c r="H270" s="6"/>
      <c r="I270" s="6"/>
      <c r="J270" s="6"/>
      <c r="K270" s="6"/>
      <c r="L270" s="6"/>
      <c r="M270" s="6"/>
      <c r="N270" s="6"/>
      <c r="O270" s="6"/>
      <c r="P270" s="6"/>
      <c r="Q270" s="6"/>
      <c r="R270" s="6"/>
      <c r="S270" s="6"/>
      <c r="T270" s="6"/>
      <c r="U270" s="6"/>
      <c r="V270" s="6"/>
      <c r="W270" s="6"/>
      <c r="X270" s="6"/>
      <c r="Y270" s="6"/>
      <c r="Z270" s="6"/>
      <c r="AA270" s="6"/>
    </row>
    <row r="271" spans="1:27" ht="14.25">
      <c r="A271" s="6"/>
      <c r="B271" s="6"/>
      <c r="C271" s="6"/>
      <c r="D271" s="6"/>
      <c r="E271" s="6"/>
      <c r="F271" s="6"/>
      <c r="G271" s="6"/>
      <c r="H271" s="6"/>
      <c r="I271" s="6"/>
      <c r="J271" s="6"/>
      <c r="K271" s="6"/>
      <c r="L271" s="6"/>
      <c r="M271" s="6"/>
      <c r="N271" s="6"/>
      <c r="O271" s="6"/>
      <c r="P271" s="6"/>
      <c r="Q271" s="6"/>
      <c r="R271" s="6"/>
      <c r="S271" s="6"/>
      <c r="T271" s="6"/>
      <c r="U271" s="6"/>
      <c r="V271" s="6"/>
      <c r="W271" s="6"/>
      <c r="X271" s="6"/>
      <c r="Y271" s="6"/>
      <c r="Z271" s="6"/>
      <c r="AA271" s="6"/>
    </row>
    <row r="272" spans="1:27" ht="14.25">
      <c r="A272" s="6"/>
      <c r="B272" s="6"/>
      <c r="C272" s="6"/>
      <c r="D272" s="6"/>
      <c r="E272" s="6"/>
      <c r="F272" s="6"/>
      <c r="G272" s="6"/>
      <c r="H272" s="6"/>
      <c r="I272" s="6"/>
      <c r="J272" s="6"/>
      <c r="K272" s="6"/>
      <c r="L272" s="6"/>
      <c r="M272" s="6"/>
      <c r="N272" s="6"/>
      <c r="O272" s="6"/>
      <c r="P272" s="6"/>
      <c r="Q272" s="6"/>
      <c r="R272" s="6"/>
      <c r="S272" s="6"/>
      <c r="T272" s="6"/>
      <c r="U272" s="6"/>
      <c r="V272" s="6"/>
      <c r="W272" s="6"/>
      <c r="X272" s="6"/>
      <c r="Y272" s="6"/>
      <c r="Z272" s="6"/>
      <c r="AA272" s="6"/>
    </row>
    <row r="273" spans="1:27" ht="14.25">
      <c r="A273" s="6"/>
      <c r="B273" s="6"/>
      <c r="C273" s="6"/>
      <c r="D273" s="6"/>
      <c r="E273" s="6"/>
      <c r="F273" s="6"/>
      <c r="G273" s="6"/>
      <c r="H273" s="6"/>
      <c r="I273" s="6"/>
      <c r="J273" s="6"/>
      <c r="K273" s="6"/>
      <c r="L273" s="6"/>
      <c r="M273" s="6"/>
      <c r="N273" s="6"/>
      <c r="O273" s="6"/>
      <c r="P273" s="6"/>
      <c r="Q273" s="6"/>
      <c r="R273" s="6"/>
      <c r="S273" s="6"/>
      <c r="T273" s="6"/>
      <c r="U273" s="6"/>
      <c r="V273" s="6"/>
      <c r="W273" s="6"/>
      <c r="X273" s="6"/>
      <c r="Y273" s="6"/>
      <c r="Z273" s="6"/>
      <c r="AA273" s="6"/>
    </row>
    <row r="274" spans="1:27" ht="14.25">
      <c r="A274" s="6"/>
      <c r="B274" s="6"/>
      <c r="C274" s="6"/>
      <c r="D274" s="6"/>
      <c r="E274" s="6"/>
      <c r="F274" s="6"/>
      <c r="G274" s="6"/>
      <c r="H274" s="6"/>
      <c r="I274" s="6"/>
      <c r="J274" s="6"/>
      <c r="K274" s="6"/>
      <c r="L274" s="6"/>
      <c r="M274" s="6"/>
      <c r="N274" s="6"/>
      <c r="O274" s="6"/>
      <c r="P274" s="6"/>
      <c r="Q274" s="6"/>
      <c r="R274" s="6"/>
      <c r="S274" s="6"/>
      <c r="T274" s="6"/>
      <c r="U274" s="6"/>
      <c r="V274" s="6"/>
      <c r="W274" s="6"/>
      <c r="X274" s="6"/>
      <c r="Y274" s="6"/>
      <c r="Z274" s="6"/>
      <c r="AA274" s="6"/>
    </row>
    <row r="275" spans="1:27" ht="14.25">
      <c r="A275" s="6"/>
      <c r="B275" s="6"/>
      <c r="C275" s="6"/>
      <c r="D275" s="6"/>
      <c r="E275" s="6"/>
      <c r="F275" s="6"/>
      <c r="G275" s="6"/>
      <c r="H275" s="6"/>
      <c r="I275" s="6"/>
      <c r="J275" s="6"/>
      <c r="K275" s="6"/>
      <c r="L275" s="6"/>
      <c r="M275" s="6"/>
      <c r="N275" s="6"/>
      <c r="O275" s="6"/>
      <c r="P275" s="6"/>
      <c r="Q275" s="6"/>
      <c r="R275" s="6"/>
      <c r="S275" s="6"/>
      <c r="T275" s="6"/>
      <c r="U275" s="6"/>
      <c r="V275" s="6"/>
      <c r="W275" s="6"/>
      <c r="X275" s="6"/>
      <c r="Y275" s="6"/>
      <c r="Z275" s="6"/>
      <c r="AA275" s="6"/>
    </row>
    <row r="276" spans="1:27" ht="14.25">
      <c r="A276" s="6"/>
      <c r="B276" s="6"/>
      <c r="C276" s="6"/>
      <c r="D276" s="6"/>
      <c r="E276" s="6"/>
      <c r="F276" s="6"/>
      <c r="G276" s="6"/>
      <c r="H276" s="6"/>
      <c r="I276" s="6"/>
      <c r="J276" s="6"/>
      <c r="K276" s="6"/>
      <c r="L276" s="6"/>
      <c r="M276" s="6"/>
      <c r="N276" s="6"/>
      <c r="O276" s="6"/>
      <c r="P276" s="6"/>
      <c r="Q276" s="6"/>
      <c r="R276" s="6"/>
      <c r="S276" s="6"/>
      <c r="T276" s="6"/>
      <c r="U276" s="6"/>
      <c r="V276" s="6"/>
      <c r="W276" s="6"/>
      <c r="X276" s="6"/>
      <c r="Y276" s="6"/>
      <c r="Z276" s="6"/>
      <c r="AA276" s="6"/>
    </row>
    <row r="277" spans="1:27" ht="14.25">
      <c r="A277" s="6"/>
      <c r="B277" s="6"/>
      <c r="C277" s="6"/>
      <c r="D277" s="6"/>
      <c r="E277" s="6"/>
      <c r="F277" s="6"/>
      <c r="G277" s="6"/>
      <c r="H277" s="6"/>
      <c r="I277" s="6"/>
      <c r="J277" s="6"/>
      <c r="K277" s="6"/>
      <c r="L277" s="6"/>
      <c r="M277" s="6"/>
      <c r="N277" s="6"/>
      <c r="O277" s="6"/>
      <c r="P277" s="6"/>
      <c r="Q277" s="6"/>
      <c r="R277" s="6"/>
      <c r="S277" s="6"/>
      <c r="T277" s="6"/>
      <c r="U277" s="6"/>
      <c r="V277" s="6"/>
      <c r="W277" s="6"/>
      <c r="X277" s="6"/>
      <c r="Y277" s="6"/>
      <c r="Z277" s="6"/>
      <c r="AA277" s="6"/>
    </row>
    <row r="278" spans="1:27" ht="14.25">
      <c r="A278" s="6"/>
      <c r="B278" s="6"/>
      <c r="C278" s="6"/>
      <c r="D278" s="6"/>
      <c r="E278" s="6"/>
      <c r="F278" s="6"/>
      <c r="G278" s="6"/>
      <c r="H278" s="6"/>
      <c r="I278" s="6"/>
      <c r="J278" s="6"/>
      <c r="K278" s="6"/>
      <c r="L278" s="6"/>
      <c r="M278" s="6"/>
      <c r="N278" s="6"/>
      <c r="O278" s="6"/>
      <c r="P278" s="6"/>
      <c r="Q278" s="6"/>
      <c r="R278" s="6"/>
      <c r="S278" s="6"/>
      <c r="T278" s="6"/>
      <c r="U278" s="6"/>
      <c r="V278" s="6"/>
      <c r="W278" s="6"/>
      <c r="X278" s="6"/>
      <c r="Y278" s="6"/>
      <c r="Z278" s="6"/>
      <c r="AA278" s="6"/>
    </row>
    <row r="279" spans="1:27" ht="14.25">
      <c r="A279" s="6"/>
      <c r="B279" s="6"/>
      <c r="C279" s="6"/>
      <c r="D279" s="6"/>
      <c r="E279" s="6"/>
      <c r="F279" s="6"/>
      <c r="G279" s="6"/>
      <c r="H279" s="6"/>
      <c r="I279" s="6"/>
      <c r="J279" s="6"/>
      <c r="K279" s="6"/>
      <c r="L279" s="6"/>
      <c r="M279" s="6"/>
      <c r="N279" s="6"/>
      <c r="O279" s="6"/>
      <c r="P279" s="6"/>
      <c r="Q279" s="6"/>
      <c r="R279" s="6"/>
      <c r="S279" s="6"/>
      <c r="T279" s="6"/>
      <c r="U279" s="6"/>
      <c r="V279" s="6"/>
      <c r="W279" s="6"/>
      <c r="X279" s="6"/>
      <c r="Y279" s="6"/>
      <c r="Z279" s="6"/>
      <c r="AA279" s="6"/>
    </row>
    <row r="280" spans="1:27" ht="14.25">
      <c r="A280" s="6"/>
      <c r="B280" s="6"/>
      <c r="C280" s="6"/>
      <c r="D280" s="6"/>
      <c r="E280" s="6"/>
      <c r="F280" s="6"/>
      <c r="G280" s="6"/>
      <c r="H280" s="6"/>
      <c r="I280" s="6"/>
      <c r="J280" s="6"/>
      <c r="K280" s="6"/>
      <c r="L280" s="6"/>
      <c r="M280" s="6"/>
      <c r="N280" s="6"/>
      <c r="O280" s="6"/>
      <c r="P280" s="6"/>
      <c r="Q280" s="6"/>
      <c r="R280" s="6"/>
      <c r="S280" s="6"/>
      <c r="T280" s="6"/>
      <c r="U280" s="6"/>
      <c r="V280" s="6"/>
      <c r="W280" s="6"/>
      <c r="X280" s="6"/>
      <c r="Y280" s="6"/>
      <c r="Z280" s="6"/>
      <c r="AA280" s="6"/>
    </row>
    <row r="281" spans="1:27" ht="14.25">
      <c r="A281" s="6"/>
      <c r="B281" s="6"/>
      <c r="C281" s="6"/>
      <c r="D281" s="6"/>
      <c r="E281" s="6"/>
      <c r="F281" s="6"/>
      <c r="G281" s="6"/>
      <c r="H281" s="6"/>
      <c r="I281" s="6"/>
      <c r="J281" s="6"/>
      <c r="K281" s="6"/>
      <c r="L281" s="6"/>
      <c r="M281" s="6"/>
      <c r="N281" s="6"/>
      <c r="O281" s="6"/>
      <c r="P281" s="6"/>
      <c r="Q281" s="6"/>
      <c r="R281" s="6"/>
      <c r="S281" s="6"/>
      <c r="T281" s="6"/>
      <c r="U281" s="6"/>
      <c r="V281" s="6"/>
      <c r="W281" s="6"/>
      <c r="X281" s="6"/>
      <c r="Y281" s="6"/>
      <c r="Z281" s="6"/>
      <c r="AA281" s="6"/>
    </row>
    <row r="282" spans="1:27" ht="14.25">
      <c r="A282" s="6"/>
      <c r="B282" s="6"/>
      <c r="C282" s="6"/>
      <c r="D282" s="6"/>
      <c r="E282" s="6"/>
      <c r="F282" s="6"/>
      <c r="G282" s="6"/>
      <c r="H282" s="6"/>
      <c r="I282" s="6"/>
      <c r="J282" s="6"/>
      <c r="K282" s="6"/>
      <c r="L282" s="6"/>
      <c r="M282" s="6"/>
      <c r="N282" s="6"/>
      <c r="O282" s="6"/>
      <c r="P282" s="6"/>
      <c r="Q282" s="6"/>
      <c r="R282" s="6"/>
      <c r="S282" s="6"/>
      <c r="T282" s="6"/>
      <c r="U282" s="6"/>
      <c r="V282" s="6"/>
      <c r="W282" s="6"/>
      <c r="X282" s="6"/>
      <c r="Y282" s="6"/>
      <c r="Z282" s="6"/>
      <c r="AA282" s="6"/>
    </row>
    <row r="283" spans="1:27" ht="14.25">
      <c r="A283" s="6"/>
      <c r="B283" s="6"/>
      <c r="C283" s="6"/>
      <c r="D283" s="6"/>
      <c r="E283" s="6"/>
      <c r="F283" s="6"/>
      <c r="G283" s="6"/>
      <c r="H283" s="6"/>
      <c r="I283" s="6"/>
      <c r="J283" s="6"/>
      <c r="K283" s="6"/>
      <c r="L283" s="6"/>
      <c r="M283" s="6"/>
      <c r="N283" s="6"/>
      <c r="O283" s="6"/>
      <c r="P283" s="6"/>
      <c r="Q283" s="6"/>
      <c r="R283" s="6"/>
      <c r="S283" s="6"/>
      <c r="T283" s="6"/>
      <c r="U283" s="6"/>
      <c r="V283" s="6"/>
      <c r="W283" s="6"/>
      <c r="X283" s="6"/>
      <c r="Y283" s="6"/>
      <c r="Z283" s="6"/>
      <c r="AA283" s="6"/>
    </row>
    <row r="284" spans="1:27" ht="14.25">
      <c r="A284" s="6"/>
      <c r="B284" s="6"/>
      <c r="C284" s="6"/>
      <c r="D284" s="6"/>
      <c r="E284" s="6"/>
      <c r="F284" s="6"/>
      <c r="G284" s="6"/>
      <c r="H284" s="6"/>
      <c r="I284" s="6"/>
      <c r="J284" s="6"/>
      <c r="K284" s="6"/>
      <c r="L284" s="6"/>
      <c r="M284" s="6"/>
      <c r="N284" s="6"/>
      <c r="O284" s="6"/>
      <c r="P284" s="6"/>
      <c r="Q284" s="6"/>
      <c r="R284" s="6"/>
      <c r="S284" s="6"/>
      <c r="T284" s="6"/>
      <c r="U284" s="6"/>
      <c r="V284" s="6"/>
      <c r="W284" s="6"/>
      <c r="X284" s="6"/>
      <c r="Y284" s="6"/>
      <c r="Z284" s="6"/>
      <c r="AA284" s="6"/>
    </row>
    <row r="285" spans="1:27" ht="14.25">
      <c r="A285" s="6"/>
      <c r="B285" s="6"/>
      <c r="C285" s="6"/>
      <c r="D285" s="6"/>
      <c r="E285" s="6"/>
      <c r="F285" s="6"/>
      <c r="G285" s="6"/>
      <c r="H285" s="6"/>
      <c r="I285" s="6"/>
      <c r="J285" s="6"/>
      <c r="K285" s="6"/>
      <c r="L285" s="6"/>
      <c r="M285" s="6"/>
      <c r="N285" s="6"/>
      <c r="O285" s="6"/>
      <c r="P285" s="6"/>
      <c r="Q285" s="6"/>
      <c r="R285" s="6"/>
      <c r="S285" s="6"/>
      <c r="T285" s="6"/>
      <c r="U285" s="6"/>
      <c r="V285" s="6"/>
      <c r="W285" s="6"/>
      <c r="X285" s="6"/>
      <c r="Y285" s="6"/>
      <c r="Z285" s="6"/>
      <c r="AA285" s="6"/>
    </row>
    <row r="286" spans="1:27" ht="14.25">
      <c r="A286" s="6"/>
      <c r="B286" s="6"/>
      <c r="C286" s="6"/>
      <c r="D286" s="6"/>
      <c r="E286" s="6"/>
      <c r="F286" s="6"/>
      <c r="G286" s="6"/>
      <c r="H286" s="6"/>
      <c r="I286" s="6"/>
      <c r="J286" s="6"/>
      <c r="K286" s="6"/>
      <c r="L286" s="6"/>
      <c r="M286" s="6"/>
      <c r="N286" s="6"/>
      <c r="O286" s="6"/>
      <c r="P286" s="6"/>
      <c r="Q286" s="6"/>
      <c r="R286" s="6"/>
      <c r="S286" s="6"/>
      <c r="T286" s="6"/>
      <c r="U286" s="6"/>
      <c r="V286" s="6"/>
      <c r="W286" s="6"/>
      <c r="X286" s="6"/>
      <c r="Y286" s="6"/>
      <c r="Z286" s="6"/>
      <c r="AA286" s="6"/>
    </row>
    <row r="287" spans="1:27" ht="14.25">
      <c r="A287" s="6"/>
      <c r="B287" s="6"/>
      <c r="C287" s="6"/>
      <c r="D287" s="6"/>
      <c r="E287" s="6"/>
      <c r="F287" s="6"/>
      <c r="G287" s="6"/>
      <c r="H287" s="6"/>
      <c r="I287" s="6"/>
      <c r="J287" s="6"/>
      <c r="K287" s="6"/>
      <c r="L287" s="6"/>
      <c r="M287" s="6"/>
      <c r="N287" s="6"/>
      <c r="O287" s="6"/>
      <c r="P287" s="6"/>
      <c r="Q287" s="6"/>
      <c r="R287" s="6"/>
      <c r="S287" s="6"/>
      <c r="T287" s="6"/>
      <c r="U287" s="6"/>
      <c r="V287" s="6"/>
      <c r="W287" s="6"/>
      <c r="X287" s="6"/>
      <c r="Y287" s="6"/>
      <c r="Z287" s="6"/>
      <c r="AA287" s="6"/>
    </row>
    <row r="288" spans="1:27" ht="14.25">
      <c r="A288" s="6"/>
      <c r="B288" s="6"/>
      <c r="C288" s="6"/>
      <c r="D288" s="6"/>
      <c r="E288" s="6"/>
      <c r="F288" s="6"/>
      <c r="G288" s="6"/>
      <c r="H288" s="6"/>
      <c r="I288" s="6"/>
      <c r="J288" s="6"/>
      <c r="K288" s="6"/>
      <c r="L288" s="6"/>
      <c r="M288" s="6"/>
      <c r="N288" s="6"/>
      <c r="O288" s="6"/>
      <c r="P288" s="6"/>
      <c r="Q288" s="6"/>
      <c r="R288" s="6"/>
      <c r="S288" s="6"/>
      <c r="T288" s="6"/>
      <c r="U288" s="6"/>
      <c r="V288" s="6"/>
      <c r="W288" s="6"/>
      <c r="X288" s="6"/>
      <c r="Y288" s="6"/>
      <c r="Z288" s="6"/>
      <c r="AA288" s="6"/>
    </row>
    <row r="289" spans="1:27" ht="14.25">
      <c r="A289" s="6"/>
      <c r="B289" s="6"/>
      <c r="C289" s="6"/>
      <c r="D289" s="6"/>
      <c r="E289" s="6"/>
      <c r="F289" s="6"/>
      <c r="G289" s="6"/>
      <c r="H289" s="6"/>
      <c r="I289" s="6"/>
      <c r="J289" s="6"/>
      <c r="K289" s="6"/>
      <c r="L289" s="6"/>
      <c r="M289" s="6"/>
      <c r="N289" s="6"/>
      <c r="O289" s="6"/>
      <c r="P289" s="6"/>
      <c r="Q289" s="6"/>
      <c r="R289" s="6"/>
      <c r="S289" s="6"/>
      <c r="T289" s="6"/>
      <c r="U289" s="6"/>
      <c r="V289" s="6"/>
      <c r="W289" s="6"/>
      <c r="X289" s="6"/>
      <c r="Y289" s="6"/>
      <c r="Z289" s="6"/>
      <c r="AA289" s="6"/>
    </row>
    <row r="290" spans="1:27" ht="14.25">
      <c r="A290" s="6"/>
      <c r="B290" s="6"/>
      <c r="C290" s="6"/>
      <c r="D290" s="6"/>
      <c r="E290" s="6"/>
      <c r="F290" s="6"/>
      <c r="G290" s="6"/>
      <c r="H290" s="6"/>
      <c r="I290" s="6"/>
      <c r="J290" s="6"/>
      <c r="K290" s="6"/>
      <c r="L290" s="6"/>
      <c r="M290" s="6"/>
      <c r="N290" s="6"/>
      <c r="O290" s="6"/>
      <c r="P290" s="6"/>
      <c r="Q290" s="6"/>
      <c r="R290" s="6"/>
      <c r="S290" s="6"/>
      <c r="T290" s="6"/>
      <c r="U290" s="6"/>
      <c r="V290" s="6"/>
      <c r="W290" s="6"/>
      <c r="X290" s="6"/>
      <c r="Y290" s="6"/>
      <c r="Z290" s="6"/>
      <c r="AA290" s="6"/>
    </row>
    <row r="291" spans="1:27" ht="14.25">
      <c r="A291" s="6"/>
      <c r="B291" s="6"/>
      <c r="C291" s="6"/>
      <c r="D291" s="6"/>
      <c r="E291" s="6"/>
      <c r="F291" s="6"/>
      <c r="G291" s="6"/>
      <c r="H291" s="6"/>
      <c r="I291" s="6"/>
      <c r="J291" s="6"/>
      <c r="K291" s="6"/>
      <c r="L291" s="6"/>
      <c r="M291" s="6"/>
      <c r="N291" s="6"/>
      <c r="O291" s="6"/>
      <c r="P291" s="6"/>
      <c r="Q291" s="6"/>
      <c r="R291" s="6"/>
      <c r="S291" s="6"/>
      <c r="T291" s="6"/>
      <c r="U291" s="6"/>
      <c r="V291" s="6"/>
      <c r="W291" s="6"/>
      <c r="X291" s="6"/>
      <c r="Y291" s="6"/>
      <c r="Z291" s="6"/>
      <c r="AA291" s="6"/>
    </row>
    <row r="292" spans="1:27" ht="14.25">
      <c r="A292" s="6"/>
      <c r="B292" s="6"/>
      <c r="C292" s="6"/>
      <c r="D292" s="6"/>
      <c r="E292" s="6"/>
      <c r="F292" s="6"/>
      <c r="G292" s="6"/>
      <c r="H292" s="6"/>
      <c r="I292" s="6"/>
      <c r="J292" s="6"/>
      <c r="K292" s="6"/>
      <c r="L292" s="6"/>
      <c r="M292" s="6"/>
      <c r="N292" s="6"/>
      <c r="O292" s="6"/>
      <c r="P292" s="6"/>
      <c r="Q292" s="6"/>
      <c r="R292" s="6"/>
      <c r="S292" s="6"/>
      <c r="T292" s="6"/>
      <c r="U292" s="6"/>
      <c r="V292" s="6"/>
      <c r="W292" s="6"/>
      <c r="X292" s="6"/>
      <c r="Y292" s="6"/>
      <c r="Z292" s="6"/>
      <c r="AA292" s="6"/>
    </row>
    <row r="293" spans="1:27" ht="14.25">
      <c r="A293" s="6"/>
      <c r="B293" s="6"/>
      <c r="C293" s="6"/>
      <c r="D293" s="6"/>
      <c r="E293" s="6"/>
      <c r="F293" s="6"/>
      <c r="G293" s="6"/>
      <c r="H293" s="6"/>
      <c r="I293" s="6"/>
      <c r="J293" s="6"/>
      <c r="K293" s="6"/>
      <c r="L293" s="6"/>
      <c r="M293" s="6"/>
      <c r="N293" s="6"/>
      <c r="O293" s="6"/>
      <c r="P293" s="6"/>
      <c r="Q293" s="6"/>
      <c r="R293" s="6"/>
      <c r="S293" s="6"/>
      <c r="T293" s="6"/>
      <c r="U293" s="6"/>
      <c r="V293" s="6"/>
      <c r="W293" s="6"/>
      <c r="X293" s="6"/>
      <c r="Y293" s="6"/>
      <c r="Z293" s="6"/>
      <c r="AA293" s="6"/>
    </row>
    <row r="294" spans="1:27" ht="14.25">
      <c r="A294" s="6"/>
      <c r="B294" s="6"/>
      <c r="C294" s="6"/>
      <c r="D294" s="6"/>
      <c r="E294" s="6"/>
      <c r="F294" s="6"/>
      <c r="G294" s="6"/>
      <c r="H294" s="6"/>
      <c r="I294" s="6"/>
      <c r="J294" s="6"/>
      <c r="K294" s="6"/>
      <c r="L294" s="6"/>
      <c r="M294" s="6"/>
      <c r="N294" s="6"/>
      <c r="O294" s="6"/>
      <c r="P294" s="6"/>
      <c r="Q294" s="6"/>
      <c r="R294" s="6"/>
      <c r="S294" s="6"/>
      <c r="T294" s="6"/>
      <c r="U294" s="6"/>
      <c r="V294" s="6"/>
      <c r="W294" s="6"/>
      <c r="X294" s="6"/>
      <c r="Y294" s="6"/>
      <c r="Z294" s="6"/>
      <c r="AA294" s="6"/>
    </row>
    <row r="295" spans="1:27" ht="14.25">
      <c r="A295" s="6"/>
      <c r="B295" s="6"/>
      <c r="C295" s="6"/>
      <c r="D295" s="6"/>
      <c r="E295" s="6"/>
      <c r="F295" s="6"/>
      <c r="G295" s="6"/>
      <c r="H295" s="6"/>
      <c r="I295" s="6"/>
      <c r="J295" s="6"/>
      <c r="K295" s="6"/>
      <c r="L295" s="6"/>
      <c r="M295" s="6"/>
      <c r="N295" s="6"/>
      <c r="O295" s="6"/>
      <c r="P295" s="6"/>
      <c r="Q295" s="6"/>
      <c r="R295" s="6"/>
      <c r="S295" s="6"/>
      <c r="T295" s="6"/>
      <c r="U295" s="6"/>
      <c r="V295" s="6"/>
      <c r="W295" s="6"/>
      <c r="X295" s="6"/>
      <c r="Y295" s="6"/>
      <c r="Z295" s="6"/>
      <c r="AA295" s="6"/>
    </row>
    <row r="296" spans="1:27" ht="14.25">
      <c r="A296" s="6"/>
      <c r="B296" s="6"/>
      <c r="C296" s="6"/>
      <c r="D296" s="6"/>
      <c r="E296" s="6"/>
      <c r="F296" s="6"/>
      <c r="G296" s="6"/>
      <c r="H296" s="6"/>
      <c r="I296" s="6"/>
      <c r="J296" s="6"/>
      <c r="K296" s="6"/>
      <c r="L296" s="6"/>
      <c r="M296" s="6"/>
      <c r="N296" s="6"/>
      <c r="O296" s="6"/>
      <c r="P296" s="6"/>
      <c r="Q296" s="6"/>
      <c r="R296" s="6"/>
      <c r="S296" s="6"/>
      <c r="T296" s="6"/>
      <c r="U296" s="6"/>
      <c r="V296" s="6"/>
      <c r="W296" s="6"/>
      <c r="X296" s="6"/>
      <c r="Y296" s="6"/>
      <c r="Z296" s="6"/>
      <c r="AA296" s="6"/>
    </row>
    <row r="297" spans="1:27" ht="14.25">
      <c r="A297" s="6"/>
      <c r="B297" s="6"/>
      <c r="C297" s="6"/>
      <c r="D297" s="6"/>
      <c r="E297" s="6"/>
      <c r="F297" s="6"/>
      <c r="G297" s="6"/>
      <c r="H297" s="6"/>
      <c r="I297" s="6"/>
      <c r="J297" s="6"/>
      <c r="K297" s="6"/>
      <c r="L297" s="6"/>
      <c r="M297" s="6"/>
      <c r="N297" s="6"/>
      <c r="O297" s="6"/>
      <c r="P297" s="6"/>
      <c r="Q297" s="6"/>
      <c r="R297" s="6"/>
      <c r="S297" s="6"/>
      <c r="T297" s="6"/>
      <c r="U297" s="6"/>
      <c r="V297" s="6"/>
      <c r="W297" s="6"/>
      <c r="X297" s="6"/>
      <c r="Y297" s="6"/>
      <c r="Z297" s="6"/>
      <c r="AA297" s="6"/>
    </row>
    <row r="298" spans="1:27" ht="14.25">
      <c r="A298" s="6"/>
      <c r="B298" s="6"/>
      <c r="C298" s="6"/>
      <c r="D298" s="6"/>
      <c r="E298" s="6"/>
      <c r="F298" s="6"/>
      <c r="G298" s="6"/>
      <c r="H298" s="6"/>
      <c r="I298" s="6"/>
      <c r="J298" s="6"/>
      <c r="K298" s="6"/>
      <c r="L298" s="6"/>
      <c r="M298" s="6"/>
      <c r="N298" s="6"/>
      <c r="O298" s="6"/>
      <c r="P298" s="6"/>
      <c r="Q298" s="6"/>
      <c r="R298" s="6"/>
      <c r="S298" s="6"/>
      <c r="T298" s="6"/>
      <c r="U298" s="6"/>
      <c r="V298" s="6"/>
      <c r="W298" s="6"/>
      <c r="X298" s="6"/>
      <c r="Y298" s="6"/>
      <c r="Z298" s="6"/>
      <c r="AA298" s="6"/>
    </row>
    <row r="299" spans="1:27" ht="14.25">
      <c r="A299" s="6"/>
      <c r="B299" s="6"/>
      <c r="C299" s="6"/>
      <c r="D299" s="6"/>
      <c r="E299" s="6"/>
      <c r="F299" s="6"/>
      <c r="G299" s="6"/>
      <c r="H299" s="6"/>
      <c r="I299" s="6"/>
      <c r="J299" s="6"/>
      <c r="K299" s="6"/>
      <c r="L299" s="6"/>
      <c r="M299" s="6"/>
      <c r="N299" s="6"/>
      <c r="O299" s="6"/>
      <c r="P299" s="6"/>
      <c r="Q299" s="6"/>
      <c r="R299" s="6"/>
      <c r="S299" s="6"/>
      <c r="T299" s="6"/>
      <c r="U299" s="6"/>
      <c r="V299" s="6"/>
      <c r="W299" s="6"/>
      <c r="X299" s="6"/>
      <c r="Y299" s="6"/>
      <c r="Z299" s="6"/>
      <c r="AA299" s="6"/>
    </row>
    <row r="300" spans="1:27" ht="14.25">
      <c r="A300" s="6"/>
      <c r="B300" s="6"/>
      <c r="C300" s="6"/>
      <c r="D300" s="6"/>
      <c r="E300" s="6"/>
      <c r="F300" s="6"/>
      <c r="G300" s="6"/>
      <c r="H300" s="6"/>
      <c r="I300" s="6"/>
      <c r="J300" s="6"/>
      <c r="K300" s="6"/>
      <c r="L300" s="6"/>
      <c r="M300" s="6"/>
      <c r="N300" s="6"/>
      <c r="O300" s="6"/>
      <c r="P300" s="6"/>
      <c r="Q300" s="6"/>
      <c r="R300" s="6"/>
      <c r="S300" s="6"/>
      <c r="T300" s="6"/>
      <c r="U300" s="6"/>
      <c r="V300" s="6"/>
      <c r="W300" s="6"/>
      <c r="X300" s="6"/>
      <c r="Y300" s="6"/>
      <c r="Z300" s="6"/>
      <c r="AA300" s="6"/>
    </row>
    <row r="301" spans="1:27" ht="14.25">
      <c r="A301" s="6"/>
      <c r="B301" s="6"/>
      <c r="C301" s="6"/>
      <c r="D301" s="6"/>
      <c r="E301" s="6"/>
      <c r="F301" s="6"/>
      <c r="G301" s="6"/>
      <c r="H301" s="6"/>
      <c r="I301" s="6"/>
      <c r="J301" s="6"/>
      <c r="K301" s="6"/>
      <c r="L301" s="6"/>
      <c r="M301" s="6"/>
      <c r="N301" s="6"/>
      <c r="O301" s="6"/>
      <c r="P301" s="6"/>
      <c r="Q301" s="6"/>
      <c r="R301" s="6"/>
      <c r="S301" s="6"/>
      <c r="T301" s="6"/>
      <c r="U301" s="6"/>
      <c r="V301" s="6"/>
      <c r="W301" s="6"/>
      <c r="X301" s="6"/>
      <c r="Y301" s="6"/>
      <c r="Z301" s="6"/>
      <c r="AA301" s="6"/>
    </row>
    <row r="302" spans="1:27" ht="14.25">
      <c r="A302" s="6"/>
      <c r="B302" s="6"/>
      <c r="C302" s="6"/>
      <c r="D302" s="6"/>
      <c r="E302" s="6"/>
      <c r="F302" s="6"/>
      <c r="G302" s="6"/>
      <c r="H302" s="6"/>
      <c r="I302" s="6"/>
      <c r="J302" s="6"/>
      <c r="K302" s="6"/>
      <c r="L302" s="6"/>
      <c r="M302" s="6"/>
      <c r="N302" s="6"/>
      <c r="O302" s="6"/>
      <c r="P302" s="6"/>
      <c r="Q302" s="6"/>
      <c r="R302" s="6"/>
      <c r="S302" s="6"/>
      <c r="T302" s="6"/>
      <c r="U302" s="6"/>
      <c r="V302" s="6"/>
      <c r="W302" s="6"/>
      <c r="X302" s="6"/>
      <c r="Y302" s="6"/>
      <c r="Z302" s="6"/>
      <c r="AA302" s="6"/>
    </row>
    <row r="303" spans="1:27" ht="14.25">
      <c r="A303" s="6"/>
      <c r="B303" s="6"/>
      <c r="C303" s="6"/>
      <c r="D303" s="6"/>
      <c r="E303" s="6"/>
      <c r="F303" s="6"/>
      <c r="G303" s="6"/>
      <c r="H303" s="6"/>
      <c r="I303" s="6"/>
      <c r="J303" s="6"/>
      <c r="K303" s="6"/>
      <c r="L303" s="6"/>
      <c r="M303" s="6"/>
      <c r="N303" s="6"/>
      <c r="O303" s="6"/>
      <c r="P303" s="6"/>
      <c r="Q303" s="6"/>
      <c r="R303" s="6"/>
      <c r="S303" s="6"/>
      <c r="T303" s="6"/>
      <c r="U303" s="6"/>
      <c r="V303" s="6"/>
      <c r="W303" s="6"/>
      <c r="X303" s="6"/>
      <c r="Y303" s="6"/>
      <c r="Z303" s="6"/>
      <c r="AA303" s="6"/>
    </row>
    <row r="304" spans="1:27" ht="14.25">
      <c r="A304" s="6"/>
      <c r="B304" s="6"/>
      <c r="C304" s="6"/>
      <c r="D304" s="6"/>
      <c r="E304" s="6"/>
      <c r="F304" s="6"/>
      <c r="G304" s="6"/>
      <c r="H304" s="6"/>
      <c r="I304" s="6"/>
      <c r="J304" s="6"/>
      <c r="K304" s="6"/>
      <c r="L304" s="6"/>
      <c r="M304" s="6"/>
      <c r="N304" s="6"/>
      <c r="O304" s="6"/>
      <c r="P304" s="6"/>
      <c r="Q304" s="6"/>
      <c r="R304" s="6"/>
      <c r="S304" s="6"/>
      <c r="T304" s="6"/>
      <c r="U304" s="6"/>
      <c r="V304" s="6"/>
      <c r="W304" s="6"/>
      <c r="X304" s="6"/>
      <c r="Y304" s="6"/>
      <c r="Z304" s="6"/>
      <c r="AA304" s="6"/>
    </row>
    <row r="305" spans="1:27" ht="14.25">
      <c r="A305" s="6"/>
      <c r="B305" s="6"/>
      <c r="C305" s="6"/>
      <c r="D305" s="6"/>
      <c r="E305" s="6"/>
      <c r="F305" s="6"/>
      <c r="G305" s="6"/>
      <c r="H305" s="6"/>
      <c r="I305" s="6"/>
      <c r="J305" s="6"/>
      <c r="K305" s="6"/>
      <c r="L305" s="6"/>
      <c r="M305" s="6"/>
      <c r="N305" s="6"/>
      <c r="O305" s="6"/>
      <c r="P305" s="6"/>
      <c r="Q305" s="6"/>
      <c r="R305" s="6"/>
      <c r="S305" s="6"/>
      <c r="T305" s="6"/>
      <c r="U305" s="6"/>
      <c r="V305" s="6"/>
      <c r="W305" s="6"/>
      <c r="X305" s="6"/>
      <c r="Y305" s="6"/>
      <c r="Z305" s="6"/>
      <c r="AA305" s="6"/>
    </row>
    <row r="306" spans="1:27" ht="14.25">
      <c r="A306" s="6"/>
      <c r="B306" s="6"/>
      <c r="C306" s="6"/>
      <c r="D306" s="6"/>
      <c r="E306" s="6"/>
      <c r="F306" s="6"/>
      <c r="G306" s="6"/>
      <c r="H306" s="6"/>
      <c r="I306" s="6"/>
      <c r="J306" s="6"/>
      <c r="K306" s="6"/>
      <c r="L306" s="6"/>
      <c r="M306" s="6"/>
      <c r="N306" s="6"/>
      <c r="O306" s="6"/>
      <c r="P306" s="6"/>
      <c r="Q306" s="6"/>
      <c r="R306" s="6"/>
      <c r="S306" s="6"/>
      <c r="T306" s="6"/>
      <c r="U306" s="6"/>
      <c r="V306" s="6"/>
      <c r="W306" s="6"/>
      <c r="X306" s="6"/>
      <c r="Y306" s="6"/>
      <c r="Z306" s="6"/>
      <c r="AA306" s="6"/>
    </row>
    <row r="307" spans="1:27" ht="14.25">
      <c r="A307" s="6"/>
      <c r="B307" s="6"/>
      <c r="C307" s="6"/>
      <c r="D307" s="6"/>
      <c r="E307" s="6"/>
      <c r="F307" s="6"/>
      <c r="G307" s="6"/>
      <c r="H307" s="6"/>
      <c r="I307" s="6"/>
      <c r="J307" s="6"/>
      <c r="K307" s="6"/>
      <c r="L307" s="6"/>
      <c r="M307" s="6"/>
      <c r="N307" s="6"/>
      <c r="O307" s="6"/>
      <c r="P307" s="6"/>
      <c r="Q307" s="6"/>
      <c r="R307" s="6"/>
      <c r="S307" s="6"/>
      <c r="T307" s="6"/>
      <c r="U307" s="6"/>
      <c r="V307" s="6"/>
      <c r="W307" s="6"/>
      <c r="X307" s="6"/>
      <c r="Y307" s="6"/>
      <c r="Z307" s="6"/>
      <c r="AA307" s="6"/>
    </row>
    <row r="308" spans="1:27" ht="14.25">
      <c r="A308" s="6"/>
      <c r="B308" s="6"/>
      <c r="C308" s="6"/>
      <c r="D308" s="6"/>
      <c r="E308" s="6"/>
      <c r="F308" s="6"/>
      <c r="G308" s="6"/>
      <c r="H308" s="6"/>
      <c r="I308" s="6"/>
      <c r="J308" s="6"/>
      <c r="K308" s="6"/>
      <c r="L308" s="6"/>
      <c r="M308" s="6"/>
      <c r="N308" s="6"/>
      <c r="O308" s="6"/>
      <c r="P308" s="6"/>
      <c r="Q308" s="6"/>
      <c r="R308" s="6"/>
      <c r="S308" s="6"/>
      <c r="T308" s="6"/>
      <c r="U308" s="6"/>
      <c r="V308" s="6"/>
      <c r="W308" s="6"/>
      <c r="X308" s="6"/>
      <c r="Y308" s="6"/>
      <c r="Z308" s="6"/>
      <c r="AA308" s="6"/>
    </row>
    <row r="309" spans="1:27" ht="14.25">
      <c r="A309" s="6"/>
      <c r="B309" s="6"/>
      <c r="C309" s="6"/>
      <c r="D309" s="6"/>
      <c r="E309" s="6"/>
      <c r="F309" s="6"/>
      <c r="G309" s="6"/>
      <c r="H309" s="6"/>
      <c r="I309" s="6"/>
      <c r="J309" s="6"/>
      <c r="K309" s="6"/>
      <c r="L309" s="6"/>
      <c r="M309" s="6"/>
      <c r="N309" s="6"/>
      <c r="O309" s="6"/>
      <c r="P309" s="6"/>
      <c r="Q309" s="6"/>
      <c r="R309" s="6"/>
      <c r="S309" s="6"/>
      <c r="T309" s="6"/>
      <c r="U309" s="6"/>
      <c r="V309" s="6"/>
      <c r="W309" s="6"/>
      <c r="X309" s="6"/>
      <c r="Y309" s="6"/>
      <c r="Z309" s="6"/>
      <c r="AA309" s="6"/>
    </row>
    <row r="310" spans="1:27" ht="14.25">
      <c r="A310" s="6"/>
      <c r="B310" s="6"/>
      <c r="C310" s="6"/>
      <c r="D310" s="6"/>
      <c r="E310" s="6"/>
      <c r="F310" s="6"/>
      <c r="G310" s="6"/>
      <c r="H310" s="6"/>
      <c r="I310" s="6"/>
      <c r="J310" s="6"/>
      <c r="K310" s="6"/>
      <c r="L310" s="6"/>
      <c r="M310" s="6"/>
      <c r="N310" s="6"/>
      <c r="O310" s="6"/>
      <c r="P310" s="6"/>
      <c r="Q310" s="6"/>
      <c r="R310" s="6"/>
      <c r="S310" s="6"/>
      <c r="T310" s="6"/>
      <c r="U310" s="6"/>
      <c r="V310" s="6"/>
      <c r="W310" s="6"/>
      <c r="X310" s="6"/>
      <c r="Y310" s="6"/>
      <c r="Z310" s="6"/>
      <c r="AA310" s="6"/>
    </row>
    <row r="311" spans="1:27" ht="14.25">
      <c r="A311" s="6"/>
      <c r="B311" s="6"/>
      <c r="C311" s="6"/>
      <c r="D311" s="6"/>
      <c r="E311" s="6"/>
      <c r="F311" s="6"/>
      <c r="G311" s="6"/>
      <c r="H311" s="6"/>
      <c r="I311" s="6"/>
      <c r="J311" s="6"/>
      <c r="K311" s="6"/>
      <c r="L311" s="6"/>
      <c r="M311" s="6"/>
      <c r="N311" s="6"/>
      <c r="O311" s="6"/>
      <c r="P311" s="6"/>
      <c r="Q311" s="6"/>
      <c r="R311" s="6"/>
      <c r="S311" s="6"/>
      <c r="T311" s="6"/>
      <c r="U311" s="6"/>
      <c r="V311" s="6"/>
      <c r="W311" s="6"/>
      <c r="X311" s="6"/>
      <c r="Y311" s="6"/>
      <c r="Z311" s="6"/>
      <c r="AA311" s="6"/>
    </row>
    <row r="312" spans="1:27" ht="14.25">
      <c r="A312" s="6"/>
      <c r="B312" s="6"/>
      <c r="C312" s="6"/>
      <c r="D312" s="6"/>
      <c r="E312" s="6"/>
      <c r="F312" s="6"/>
      <c r="G312" s="6"/>
      <c r="H312" s="6"/>
      <c r="I312" s="6"/>
      <c r="J312" s="6"/>
      <c r="K312" s="6"/>
      <c r="L312" s="6"/>
      <c r="M312" s="6"/>
      <c r="N312" s="6"/>
      <c r="O312" s="6"/>
      <c r="P312" s="6"/>
      <c r="Q312" s="6"/>
      <c r="R312" s="6"/>
      <c r="S312" s="6"/>
      <c r="T312" s="6"/>
      <c r="U312" s="6"/>
      <c r="V312" s="6"/>
      <c r="W312" s="6"/>
      <c r="X312" s="6"/>
      <c r="Y312" s="6"/>
      <c r="Z312" s="6"/>
      <c r="AA312" s="6"/>
    </row>
    <row r="313" spans="1:27" ht="14.25">
      <c r="A313" s="6"/>
      <c r="B313" s="6"/>
      <c r="C313" s="6"/>
      <c r="D313" s="6"/>
      <c r="E313" s="6"/>
      <c r="F313" s="6"/>
      <c r="G313" s="6"/>
      <c r="H313" s="6"/>
      <c r="I313" s="6"/>
      <c r="J313" s="6"/>
      <c r="K313" s="6"/>
      <c r="L313" s="6"/>
      <c r="M313" s="6"/>
      <c r="N313" s="6"/>
      <c r="O313" s="6"/>
      <c r="P313" s="6"/>
      <c r="Q313" s="6"/>
      <c r="R313" s="6"/>
      <c r="S313" s="6"/>
      <c r="T313" s="6"/>
      <c r="U313" s="6"/>
      <c r="V313" s="6"/>
      <c r="W313" s="6"/>
      <c r="X313" s="6"/>
      <c r="Y313" s="6"/>
      <c r="Z313" s="6"/>
      <c r="AA313" s="6"/>
    </row>
    <row r="314" spans="1:27" ht="14.25">
      <c r="A314" s="6"/>
      <c r="B314" s="6"/>
      <c r="C314" s="6"/>
      <c r="D314" s="6"/>
      <c r="E314" s="6"/>
      <c r="F314" s="6"/>
      <c r="G314" s="6"/>
      <c r="H314" s="6"/>
      <c r="I314" s="6"/>
      <c r="J314" s="6"/>
      <c r="K314" s="6"/>
      <c r="L314" s="6"/>
      <c r="M314" s="6"/>
      <c r="N314" s="6"/>
      <c r="O314" s="6"/>
      <c r="P314" s="6"/>
      <c r="Q314" s="6"/>
      <c r="R314" s="6"/>
      <c r="S314" s="6"/>
      <c r="T314" s="6"/>
      <c r="U314" s="6"/>
      <c r="V314" s="6"/>
      <c r="W314" s="6"/>
      <c r="X314" s="6"/>
      <c r="Y314" s="6"/>
      <c r="Z314" s="6"/>
      <c r="AA314" s="6"/>
    </row>
    <row r="315" spans="1:27" ht="14.25">
      <c r="A315" s="6"/>
      <c r="B315" s="6"/>
      <c r="C315" s="6"/>
      <c r="D315" s="6"/>
      <c r="E315" s="6"/>
      <c r="F315" s="6"/>
      <c r="G315" s="6"/>
      <c r="H315" s="6"/>
      <c r="I315" s="6"/>
      <c r="J315" s="6"/>
      <c r="K315" s="6"/>
      <c r="L315" s="6"/>
      <c r="M315" s="6"/>
      <c r="N315" s="6"/>
      <c r="O315" s="6"/>
      <c r="P315" s="6"/>
      <c r="Q315" s="6"/>
      <c r="R315" s="6"/>
      <c r="S315" s="6"/>
      <c r="T315" s="6"/>
      <c r="U315" s="6"/>
      <c r="V315" s="6"/>
      <c r="W315" s="6"/>
      <c r="X315" s="6"/>
      <c r="Y315" s="6"/>
      <c r="Z315" s="6"/>
      <c r="AA315" s="6"/>
    </row>
    <row r="316" spans="1:27" ht="14.25">
      <c r="A316" s="6"/>
      <c r="B316" s="6"/>
      <c r="C316" s="6"/>
      <c r="D316" s="6"/>
      <c r="E316" s="6"/>
      <c r="F316" s="6"/>
      <c r="G316" s="6"/>
      <c r="H316" s="6"/>
      <c r="I316" s="6"/>
      <c r="J316" s="6"/>
      <c r="K316" s="6"/>
      <c r="L316" s="6"/>
      <c r="M316" s="6"/>
      <c r="N316" s="6"/>
      <c r="O316" s="6"/>
      <c r="P316" s="6"/>
      <c r="Q316" s="6"/>
      <c r="R316" s="6"/>
      <c r="S316" s="6"/>
      <c r="T316" s="6"/>
      <c r="U316" s="6"/>
      <c r="V316" s="6"/>
      <c r="W316" s="6"/>
      <c r="X316" s="6"/>
      <c r="Y316" s="6"/>
      <c r="Z316" s="6"/>
      <c r="AA316" s="6"/>
    </row>
    <row r="317" spans="1:27" ht="14.25">
      <c r="A317" s="6"/>
      <c r="B317" s="6"/>
      <c r="C317" s="6"/>
      <c r="D317" s="6"/>
      <c r="E317" s="6"/>
      <c r="F317" s="6"/>
      <c r="G317" s="6"/>
      <c r="H317" s="6"/>
      <c r="I317" s="6"/>
      <c r="J317" s="6"/>
      <c r="K317" s="6"/>
      <c r="L317" s="6"/>
      <c r="M317" s="6"/>
      <c r="N317" s="6"/>
      <c r="O317" s="6"/>
      <c r="P317" s="6"/>
      <c r="Q317" s="6"/>
      <c r="R317" s="6"/>
      <c r="S317" s="6"/>
      <c r="T317" s="6"/>
      <c r="U317" s="6"/>
      <c r="V317" s="6"/>
      <c r="W317" s="6"/>
      <c r="X317" s="6"/>
      <c r="Y317" s="6"/>
      <c r="Z317" s="6"/>
      <c r="AA317" s="6"/>
    </row>
    <row r="318" spans="1:27" ht="14.25">
      <c r="A318" s="6"/>
      <c r="B318" s="6"/>
      <c r="C318" s="6"/>
      <c r="D318" s="6"/>
      <c r="E318" s="6"/>
      <c r="F318" s="6"/>
      <c r="G318" s="6"/>
      <c r="H318" s="6"/>
      <c r="I318" s="6"/>
      <c r="J318" s="6"/>
      <c r="K318" s="6"/>
      <c r="L318" s="6"/>
      <c r="M318" s="6"/>
      <c r="N318" s="6"/>
      <c r="O318" s="6"/>
      <c r="P318" s="6"/>
      <c r="Q318" s="6"/>
      <c r="R318" s="6"/>
      <c r="S318" s="6"/>
      <c r="T318" s="6"/>
      <c r="U318" s="6"/>
      <c r="V318" s="6"/>
      <c r="W318" s="6"/>
      <c r="X318" s="6"/>
      <c r="Y318" s="6"/>
      <c r="Z318" s="6"/>
      <c r="AA318" s="6"/>
    </row>
    <row r="319" spans="1:27" ht="14.25">
      <c r="A319" s="6"/>
      <c r="B319" s="6"/>
      <c r="C319" s="6"/>
      <c r="D319" s="6"/>
      <c r="E319" s="6"/>
      <c r="F319" s="6"/>
      <c r="G319" s="6"/>
      <c r="H319" s="6"/>
      <c r="I319" s="6"/>
      <c r="J319" s="6"/>
      <c r="K319" s="6"/>
      <c r="L319" s="6"/>
      <c r="M319" s="6"/>
      <c r="N319" s="6"/>
      <c r="O319" s="6"/>
      <c r="P319" s="6"/>
      <c r="Q319" s="6"/>
      <c r="R319" s="6"/>
      <c r="S319" s="6"/>
      <c r="T319" s="6"/>
      <c r="U319" s="6"/>
      <c r="V319" s="6"/>
      <c r="W319" s="6"/>
      <c r="X319" s="6"/>
      <c r="Y319" s="6"/>
      <c r="Z319" s="6"/>
      <c r="AA319" s="6"/>
    </row>
    <row r="320" spans="1:27" ht="14.25">
      <c r="A320" s="6"/>
      <c r="B320" s="6"/>
      <c r="C320" s="6"/>
      <c r="D320" s="6"/>
      <c r="E320" s="6"/>
      <c r="F320" s="6"/>
      <c r="G320" s="6"/>
      <c r="H320" s="6"/>
      <c r="I320" s="6"/>
      <c r="J320" s="6"/>
      <c r="K320" s="6"/>
      <c r="L320" s="6"/>
      <c r="M320" s="6"/>
      <c r="N320" s="6"/>
      <c r="O320" s="6"/>
      <c r="P320" s="6"/>
      <c r="Q320" s="6"/>
      <c r="R320" s="6"/>
      <c r="S320" s="6"/>
      <c r="T320" s="6"/>
      <c r="U320" s="6"/>
      <c r="V320" s="6"/>
      <c r="W320" s="6"/>
      <c r="X320" s="6"/>
      <c r="Y320" s="6"/>
      <c r="Z320" s="6"/>
      <c r="AA320" s="6"/>
    </row>
    <row r="321" spans="1:27" ht="14.25">
      <c r="A321" s="6"/>
      <c r="B321" s="6"/>
      <c r="C321" s="6"/>
      <c r="D321" s="6"/>
      <c r="E321" s="6"/>
      <c r="F321" s="6"/>
      <c r="G321" s="6"/>
      <c r="H321" s="6"/>
      <c r="I321" s="6"/>
      <c r="J321" s="6"/>
      <c r="K321" s="6"/>
      <c r="L321" s="6"/>
      <c r="M321" s="6"/>
      <c r="N321" s="6"/>
      <c r="O321" s="6"/>
      <c r="P321" s="6"/>
      <c r="Q321" s="6"/>
      <c r="R321" s="6"/>
      <c r="S321" s="6"/>
      <c r="T321" s="6"/>
      <c r="U321" s="6"/>
      <c r="V321" s="6"/>
      <c r="W321" s="6"/>
      <c r="X321" s="6"/>
      <c r="Y321" s="6"/>
      <c r="Z321" s="6"/>
      <c r="AA321" s="6"/>
    </row>
    <row r="322" spans="1:27" ht="14.25">
      <c r="A322" s="6"/>
      <c r="B322" s="6"/>
      <c r="C322" s="6"/>
      <c r="D322" s="6"/>
      <c r="E322" s="6"/>
      <c r="F322" s="6"/>
      <c r="G322" s="6"/>
      <c r="H322" s="6"/>
      <c r="I322" s="6"/>
      <c r="J322" s="6"/>
      <c r="K322" s="6"/>
      <c r="L322" s="6"/>
      <c r="M322" s="6"/>
      <c r="N322" s="6"/>
      <c r="O322" s="6"/>
      <c r="P322" s="6"/>
      <c r="Q322" s="6"/>
      <c r="R322" s="6"/>
      <c r="S322" s="6"/>
      <c r="T322" s="6"/>
      <c r="U322" s="6"/>
      <c r="V322" s="6"/>
      <c r="W322" s="6"/>
      <c r="X322" s="6"/>
      <c r="Y322" s="6"/>
      <c r="Z322" s="6"/>
      <c r="AA322" s="6"/>
    </row>
    <row r="323" spans="1:27" ht="14.25">
      <c r="A323" s="6"/>
      <c r="B323" s="6"/>
      <c r="C323" s="6"/>
      <c r="D323" s="6"/>
      <c r="E323" s="6"/>
      <c r="F323" s="6"/>
      <c r="G323" s="6"/>
      <c r="H323" s="6"/>
      <c r="I323" s="6"/>
      <c r="J323" s="6"/>
      <c r="K323" s="6"/>
      <c r="L323" s="6"/>
      <c r="M323" s="6"/>
      <c r="N323" s="6"/>
      <c r="O323" s="6"/>
      <c r="P323" s="6"/>
      <c r="Q323" s="6"/>
      <c r="R323" s="6"/>
      <c r="S323" s="6"/>
      <c r="T323" s="6"/>
      <c r="U323" s="6"/>
      <c r="V323" s="6"/>
      <c r="W323" s="6"/>
      <c r="X323" s="6"/>
      <c r="Y323" s="6"/>
      <c r="Z323" s="6"/>
      <c r="AA323" s="6"/>
    </row>
    <row r="324" spans="1:27" ht="14.25">
      <c r="A324" s="6"/>
      <c r="B324" s="6"/>
      <c r="C324" s="6"/>
      <c r="D324" s="6"/>
      <c r="E324" s="6"/>
      <c r="F324" s="6"/>
      <c r="G324" s="6"/>
      <c r="H324" s="6"/>
      <c r="I324" s="6"/>
      <c r="J324" s="6"/>
      <c r="K324" s="6"/>
      <c r="L324" s="6"/>
      <c r="M324" s="6"/>
      <c r="N324" s="6"/>
      <c r="O324" s="6"/>
      <c r="P324" s="6"/>
      <c r="Q324" s="6"/>
      <c r="R324" s="6"/>
      <c r="S324" s="6"/>
      <c r="T324" s="6"/>
      <c r="U324" s="6"/>
      <c r="V324" s="6"/>
      <c r="W324" s="6"/>
      <c r="X324" s="6"/>
      <c r="Y324" s="6"/>
      <c r="Z324" s="6"/>
      <c r="AA324" s="6"/>
    </row>
    <row r="325" spans="1:27" ht="14.25">
      <c r="A325" s="6"/>
      <c r="B325" s="6"/>
      <c r="C325" s="6"/>
      <c r="D325" s="6"/>
      <c r="E325" s="6"/>
      <c r="F325" s="6"/>
      <c r="G325" s="6"/>
      <c r="H325" s="6"/>
      <c r="I325" s="6"/>
      <c r="J325" s="6"/>
      <c r="K325" s="6"/>
      <c r="L325" s="6"/>
      <c r="M325" s="6"/>
      <c r="N325" s="6"/>
      <c r="O325" s="6"/>
      <c r="P325" s="6"/>
      <c r="Q325" s="6"/>
      <c r="R325" s="6"/>
      <c r="S325" s="6"/>
      <c r="T325" s="6"/>
      <c r="U325" s="6"/>
      <c r="V325" s="6"/>
      <c r="W325" s="6"/>
      <c r="X325" s="6"/>
      <c r="Y325" s="6"/>
      <c r="Z325" s="6"/>
      <c r="AA325" s="6"/>
    </row>
    <row r="326" spans="1:27" ht="14.25">
      <c r="A326" s="6"/>
      <c r="B326" s="6"/>
      <c r="C326" s="6"/>
      <c r="D326" s="6"/>
      <c r="E326" s="6"/>
      <c r="F326" s="6"/>
      <c r="G326" s="6"/>
      <c r="H326" s="6"/>
      <c r="I326" s="6"/>
      <c r="J326" s="6"/>
      <c r="K326" s="6"/>
      <c r="L326" s="6"/>
      <c r="M326" s="6"/>
      <c r="N326" s="6"/>
      <c r="O326" s="6"/>
      <c r="P326" s="6"/>
      <c r="Q326" s="6"/>
      <c r="R326" s="6"/>
      <c r="S326" s="6"/>
      <c r="T326" s="6"/>
      <c r="U326" s="6"/>
      <c r="V326" s="6"/>
      <c r="W326" s="6"/>
      <c r="X326" s="6"/>
      <c r="Y326" s="6"/>
      <c r="Z326" s="6"/>
      <c r="AA326" s="6"/>
    </row>
    <row r="327" spans="1:27" ht="14.25">
      <c r="A327" s="6"/>
      <c r="B327" s="6"/>
      <c r="C327" s="6"/>
      <c r="D327" s="6"/>
      <c r="E327" s="6"/>
      <c r="F327" s="6"/>
      <c r="G327" s="6"/>
      <c r="H327" s="6"/>
      <c r="I327" s="6"/>
      <c r="J327" s="6"/>
      <c r="K327" s="6"/>
      <c r="L327" s="6"/>
      <c r="M327" s="6"/>
      <c r="N327" s="6"/>
      <c r="O327" s="6"/>
      <c r="P327" s="6"/>
      <c r="Q327" s="6"/>
      <c r="R327" s="6"/>
      <c r="S327" s="6"/>
      <c r="T327" s="6"/>
      <c r="U327" s="6"/>
      <c r="V327" s="6"/>
      <c r="W327" s="6"/>
      <c r="X327" s="6"/>
      <c r="Y327" s="6"/>
      <c r="Z327" s="6"/>
      <c r="AA327" s="6"/>
    </row>
    <row r="328" spans="1:27" ht="14.25">
      <c r="A328" s="6"/>
      <c r="B328" s="6"/>
      <c r="C328" s="6"/>
      <c r="D328" s="6"/>
      <c r="E328" s="6"/>
      <c r="F328" s="6"/>
      <c r="G328" s="6"/>
      <c r="H328" s="6"/>
      <c r="I328" s="6"/>
      <c r="J328" s="6"/>
      <c r="K328" s="6"/>
      <c r="L328" s="6"/>
      <c r="M328" s="6"/>
      <c r="N328" s="6"/>
      <c r="O328" s="6"/>
      <c r="P328" s="6"/>
      <c r="Q328" s="6"/>
      <c r="R328" s="6"/>
      <c r="S328" s="6"/>
      <c r="T328" s="6"/>
      <c r="U328" s="6"/>
      <c r="V328" s="6"/>
      <c r="W328" s="6"/>
      <c r="X328" s="6"/>
      <c r="Y328" s="6"/>
      <c r="Z328" s="6"/>
      <c r="AA328" s="6"/>
    </row>
    <row r="329" spans="1:27" ht="14.25">
      <c r="A329" s="6"/>
      <c r="B329" s="6"/>
      <c r="C329" s="6"/>
      <c r="D329" s="6"/>
      <c r="E329" s="6"/>
      <c r="F329" s="6"/>
      <c r="G329" s="6"/>
      <c r="H329" s="6"/>
      <c r="I329" s="6"/>
      <c r="J329" s="6"/>
      <c r="K329" s="6"/>
      <c r="L329" s="6"/>
      <c r="M329" s="6"/>
      <c r="N329" s="6"/>
      <c r="O329" s="6"/>
      <c r="P329" s="6"/>
      <c r="Q329" s="6"/>
      <c r="R329" s="6"/>
      <c r="S329" s="6"/>
      <c r="T329" s="6"/>
      <c r="U329" s="6"/>
      <c r="V329" s="6"/>
      <c r="W329" s="6"/>
      <c r="X329" s="6"/>
      <c r="Y329" s="6"/>
      <c r="Z329" s="6"/>
      <c r="AA329" s="6"/>
    </row>
    <row r="330" spans="1:27" ht="14.25">
      <c r="A330" s="6"/>
      <c r="B330" s="6"/>
      <c r="C330" s="6"/>
      <c r="D330" s="6"/>
      <c r="E330" s="6"/>
      <c r="F330" s="6"/>
      <c r="G330" s="6"/>
      <c r="H330" s="6"/>
      <c r="I330" s="6"/>
      <c r="J330" s="6"/>
      <c r="K330" s="6"/>
      <c r="L330" s="6"/>
      <c r="M330" s="6"/>
      <c r="N330" s="6"/>
      <c r="O330" s="6"/>
      <c r="P330" s="6"/>
      <c r="Q330" s="6"/>
      <c r="R330" s="6"/>
      <c r="S330" s="6"/>
      <c r="T330" s="6"/>
      <c r="U330" s="6"/>
      <c r="V330" s="6"/>
      <c r="W330" s="6"/>
      <c r="X330" s="6"/>
      <c r="Y330" s="6"/>
      <c r="Z330" s="6"/>
      <c r="AA330" s="6"/>
    </row>
    <row r="331" spans="1:27" ht="14.25">
      <c r="A331" s="6"/>
      <c r="B331" s="6"/>
      <c r="C331" s="6"/>
      <c r="D331" s="6"/>
      <c r="E331" s="6"/>
      <c r="F331" s="6"/>
      <c r="G331" s="6"/>
      <c r="H331" s="6"/>
      <c r="I331" s="6"/>
      <c r="J331" s="6"/>
      <c r="K331" s="6"/>
      <c r="L331" s="6"/>
      <c r="M331" s="6"/>
      <c r="N331" s="6"/>
      <c r="O331" s="6"/>
      <c r="P331" s="6"/>
      <c r="Q331" s="6"/>
      <c r="R331" s="6"/>
      <c r="S331" s="6"/>
      <c r="T331" s="6"/>
      <c r="U331" s="6"/>
      <c r="V331" s="6"/>
      <c r="W331" s="6"/>
      <c r="X331" s="6"/>
      <c r="Y331" s="6"/>
      <c r="Z331" s="6"/>
      <c r="AA331" s="6"/>
    </row>
    <row r="332" spans="1:27" ht="14.25">
      <c r="A332" s="6"/>
      <c r="B332" s="6"/>
      <c r="C332" s="6"/>
      <c r="D332" s="6"/>
      <c r="E332" s="6"/>
      <c r="F332" s="6"/>
      <c r="G332" s="6"/>
      <c r="H332" s="6"/>
      <c r="I332" s="6"/>
      <c r="J332" s="6"/>
      <c r="K332" s="6"/>
      <c r="L332" s="6"/>
      <c r="M332" s="6"/>
      <c r="N332" s="6"/>
      <c r="O332" s="6"/>
      <c r="P332" s="6"/>
      <c r="Q332" s="6"/>
      <c r="R332" s="6"/>
      <c r="S332" s="6"/>
      <c r="T332" s="6"/>
      <c r="U332" s="6"/>
      <c r="V332" s="6"/>
      <c r="W332" s="6"/>
      <c r="X332" s="6"/>
      <c r="Y332" s="6"/>
      <c r="Z332" s="6"/>
      <c r="AA332" s="6"/>
    </row>
    <row r="333" spans="1:27" ht="14.25">
      <c r="A333" s="6"/>
      <c r="B333" s="6"/>
      <c r="C333" s="6"/>
      <c r="D333" s="6"/>
      <c r="E333" s="6"/>
      <c r="F333" s="6"/>
      <c r="G333" s="6"/>
      <c r="H333" s="6"/>
      <c r="I333" s="6"/>
      <c r="J333" s="6"/>
      <c r="K333" s="6"/>
      <c r="L333" s="6"/>
      <c r="M333" s="6"/>
      <c r="N333" s="6"/>
      <c r="O333" s="6"/>
      <c r="P333" s="6"/>
      <c r="Q333" s="6"/>
      <c r="R333" s="6"/>
      <c r="S333" s="6"/>
      <c r="T333" s="6"/>
      <c r="U333" s="6"/>
      <c r="V333" s="6"/>
      <c r="W333" s="6"/>
      <c r="X333" s="6"/>
      <c r="Y333" s="6"/>
      <c r="Z333" s="6"/>
      <c r="AA333" s="6"/>
    </row>
    <row r="334" spans="1:27" ht="14.25">
      <c r="A334" s="6"/>
      <c r="B334" s="6"/>
      <c r="C334" s="6"/>
      <c r="D334" s="6"/>
      <c r="E334" s="6"/>
      <c r="F334" s="6"/>
      <c r="G334" s="6"/>
      <c r="H334" s="6"/>
      <c r="I334" s="6"/>
      <c r="J334" s="6"/>
      <c r="K334" s="6"/>
      <c r="L334" s="6"/>
      <c r="M334" s="6"/>
      <c r="N334" s="6"/>
      <c r="O334" s="6"/>
      <c r="P334" s="6"/>
      <c r="Q334" s="6"/>
      <c r="R334" s="6"/>
      <c r="S334" s="6"/>
      <c r="T334" s="6"/>
      <c r="U334" s="6"/>
      <c r="V334" s="6"/>
      <c r="W334" s="6"/>
      <c r="X334" s="6"/>
      <c r="Y334" s="6"/>
      <c r="Z334" s="6"/>
      <c r="AA334" s="6"/>
    </row>
    <row r="335" spans="1:27" ht="14.25">
      <c r="A335" s="6"/>
      <c r="B335" s="6"/>
      <c r="C335" s="6"/>
      <c r="D335" s="6"/>
      <c r="E335" s="6"/>
      <c r="F335" s="6"/>
      <c r="G335" s="6"/>
      <c r="H335" s="6"/>
      <c r="I335" s="6"/>
      <c r="J335" s="6"/>
      <c r="K335" s="6"/>
      <c r="L335" s="6"/>
      <c r="M335" s="6"/>
      <c r="N335" s="6"/>
      <c r="O335" s="6"/>
      <c r="P335" s="6"/>
      <c r="Q335" s="6"/>
      <c r="R335" s="6"/>
      <c r="S335" s="6"/>
      <c r="T335" s="6"/>
      <c r="U335" s="6"/>
      <c r="V335" s="6"/>
      <c r="W335" s="6"/>
      <c r="X335" s="6"/>
      <c r="Y335" s="6"/>
      <c r="Z335" s="6"/>
      <c r="AA335" s="6"/>
    </row>
    <row r="336" spans="1:27" ht="14.25">
      <c r="A336" s="6"/>
      <c r="B336" s="6"/>
      <c r="C336" s="6"/>
      <c r="D336" s="6"/>
      <c r="E336" s="6"/>
      <c r="F336" s="6"/>
      <c r="G336" s="6"/>
      <c r="H336" s="6"/>
      <c r="I336" s="6"/>
      <c r="J336" s="6"/>
      <c r="K336" s="6"/>
      <c r="L336" s="6"/>
      <c r="M336" s="6"/>
      <c r="N336" s="6"/>
      <c r="O336" s="6"/>
      <c r="P336" s="6"/>
      <c r="Q336" s="6"/>
      <c r="R336" s="6"/>
      <c r="S336" s="6"/>
      <c r="T336" s="6"/>
      <c r="U336" s="6"/>
      <c r="V336" s="6"/>
      <c r="W336" s="6"/>
      <c r="X336" s="6"/>
      <c r="Y336" s="6"/>
      <c r="Z336" s="6"/>
      <c r="AA336" s="6"/>
    </row>
    <row r="337" spans="1:27" ht="14.25">
      <c r="A337" s="6"/>
      <c r="B337" s="6"/>
      <c r="C337" s="6"/>
      <c r="D337" s="6"/>
      <c r="E337" s="6"/>
      <c r="F337" s="6"/>
      <c r="G337" s="6"/>
      <c r="H337" s="6"/>
      <c r="I337" s="6"/>
      <c r="J337" s="6"/>
      <c r="K337" s="6"/>
      <c r="L337" s="6"/>
      <c r="M337" s="6"/>
      <c r="N337" s="6"/>
      <c r="O337" s="6"/>
      <c r="P337" s="6"/>
      <c r="Q337" s="6"/>
      <c r="R337" s="6"/>
      <c r="S337" s="6"/>
      <c r="T337" s="6"/>
      <c r="U337" s="6"/>
      <c r="V337" s="6"/>
      <c r="W337" s="6"/>
      <c r="X337" s="6"/>
      <c r="Y337" s="6"/>
      <c r="Z337" s="6"/>
      <c r="AA337" s="6"/>
    </row>
    <row r="338" spans="1:27" ht="14.25">
      <c r="A338" s="6"/>
      <c r="B338" s="6"/>
      <c r="C338" s="6"/>
      <c r="D338" s="6"/>
      <c r="E338" s="6"/>
      <c r="F338" s="6"/>
      <c r="G338" s="6"/>
      <c r="H338" s="6"/>
      <c r="I338" s="6"/>
      <c r="J338" s="6"/>
      <c r="K338" s="6"/>
      <c r="L338" s="6"/>
      <c r="M338" s="6"/>
      <c r="N338" s="6"/>
      <c r="O338" s="6"/>
      <c r="P338" s="6"/>
      <c r="Q338" s="6"/>
      <c r="R338" s="6"/>
      <c r="S338" s="6"/>
      <c r="T338" s="6"/>
      <c r="U338" s="6"/>
      <c r="V338" s="6"/>
      <c r="W338" s="6"/>
      <c r="X338" s="6"/>
      <c r="Y338" s="6"/>
      <c r="Z338" s="6"/>
      <c r="AA338" s="6"/>
    </row>
    <row r="339" spans="1:27" ht="14.25">
      <c r="A339" s="6"/>
      <c r="B339" s="6"/>
      <c r="C339" s="6"/>
      <c r="D339" s="6"/>
      <c r="E339" s="6"/>
      <c r="F339" s="6"/>
      <c r="G339" s="6"/>
      <c r="H339" s="6"/>
      <c r="I339" s="6"/>
      <c r="J339" s="6"/>
      <c r="K339" s="6"/>
      <c r="L339" s="6"/>
      <c r="M339" s="6"/>
      <c r="N339" s="6"/>
      <c r="O339" s="6"/>
      <c r="P339" s="6"/>
      <c r="Q339" s="6"/>
      <c r="R339" s="6"/>
      <c r="S339" s="6"/>
      <c r="T339" s="6"/>
      <c r="U339" s="6"/>
      <c r="V339" s="6"/>
      <c r="W339" s="6"/>
      <c r="X339" s="6"/>
      <c r="Y339" s="6"/>
      <c r="Z339" s="6"/>
      <c r="AA339" s="6"/>
    </row>
    <row r="340" spans="1:27" ht="14.25">
      <c r="A340" s="6"/>
      <c r="B340" s="6"/>
      <c r="C340" s="6"/>
      <c r="D340" s="6"/>
      <c r="E340" s="6"/>
      <c r="F340" s="6"/>
      <c r="G340" s="6"/>
      <c r="H340" s="6"/>
      <c r="I340" s="6"/>
      <c r="J340" s="6"/>
      <c r="K340" s="6"/>
      <c r="L340" s="6"/>
      <c r="M340" s="6"/>
      <c r="N340" s="6"/>
      <c r="O340" s="6"/>
      <c r="P340" s="6"/>
      <c r="Q340" s="6"/>
      <c r="R340" s="6"/>
      <c r="S340" s="6"/>
      <c r="T340" s="6"/>
      <c r="U340" s="6"/>
      <c r="V340" s="6"/>
      <c r="W340" s="6"/>
      <c r="X340" s="6"/>
      <c r="Y340" s="6"/>
      <c r="Z340" s="6"/>
      <c r="AA340" s="6"/>
    </row>
    <row r="341" spans="1:27" ht="14.25">
      <c r="A341" s="6"/>
      <c r="B341" s="6"/>
      <c r="C341" s="6"/>
      <c r="D341" s="6"/>
      <c r="E341" s="6"/>
      <c r="F341" s="6"/>
      <c r="G341" s="6"/>
      <c r="H341" s="6"/>
      <c r="I341" s="6"/>
      <c r="J341" s="6"/>
      <c r="K341" s="6"/>
      <c r="L341" s="6"/>
      <c r="M341" s="6"/>
      <c r="N341" s="6"/>
      <c r="O341" s="6"/>
      <c r="P341" s="6"/>
      <c r="Q341" s="6"/>
      <c r="R341" s="6"/>
      <c r="S341" s="6"/>
      <c r="T341" s="6"/>
      <c r="U341" s="6"/>
      <c r="V341" s="6"/>
      <c r="W341" s="6"/>
      <c r="X341" s="6"/>
      <c r="Y341" s="6"/>
      <c r="Z341" s="6"/>
      <c r="AA341" s="6"/>
    </row>
    <row r="342" spans="1:27" ht="14.25">
      <c r="A342" s="6"/>
      <c r="B342" s="6"/>
      <c r="C342" s="6"/>
      <c r="D342" s="6"/>
      <c r="E342" s="6"/>
      <c r="F342" s="6"/>
      <c r="G342" s="6"/>
      <c r="H342" s="6"/>
      <c r="I342" s="6"/>
      <c r="J342" s="6"/>
      <c r="K342" s="6"/>
      <c r="L342" s="6"/>
      <c r="M342" s="6"/>
      <c r="N342" s="6"/>
      <c r="O342" s="6"/>
      <c r="P342" s="6"/>
      <c r="Q342" s="6"/>
      <c r="R342" s="6"/>
      <c r="S342" s="6"/>
      <c r="T342" s="6"/>
      <c r="U342" s="6"/>
      <c r="V342" s="6"/>
      <c r="W342" s="6"/>
      <c r="X342" s="6"/>
      <c r="Y342" s="6"/>
      <c r="Z342" s="6"/>
      <c r="AA342" s="6"/>
    </row>
    <row r="343" spans="1:27" ht="14.25">
      <c r="A343" s="6"/>
      <c r="B343" s="6"/>
      <c r="C343" s="6"/>
      <c r="D343" s="6"/>
      <c r="E343" s="6"/>
      <c r="F343" s="6"/>
      <c r="G343" s="6"/>
      <c r="H343" s="6"/>
      <c r="I343" s="6"/>
      <c r="J343" s="6"/>
      <c r="K343" s="6"/>
      <c r="L343" s="6"/>
      <c r="M343" s="6"/>
      <c r="N343" s="6"/>
      <c r="O343" s="6"/>
      <c r="P343" s="6"/>
      <c r="Q343" s="6"/>
      <c r="R343" s="6"/>
      <c r="S343" s="6"/>
      <c r="T343" s="6"/>
      <c r="U343" s="6"/>
      <c r="V343" s="6"/>
      <c r="W343" s="6"/>
      <c r="X343" s="6"/>
      <c r="Y343" s="6"/>
      <c r="Z343" s="6"/>
      <c r="AA343" s="6"/>
    </row>
    <row r="344" spans="1:27" ht="14.25">
      <c r="A344" s="6"/>
      <c r="B344" s="6"/>
      <c r="C344" s="6"/>
      <c r="D344" s="6"/>
      <c r="E344" s="6"/>
      <c r="F344" s="6"/>
      <c r="G344" s="6"/>
      <c r="H344" s="6"/>
      <c r="I344" s="6"/>
      <c r="J344" s="6"/>
      <c r="K344" s="6"/>
      <c r="L344" s="6"/>
      <c r="M344" s="6"/>
      <c r="N344" s="6"/>
      <c r="O344" s="6"/>
      <c r="P344" s="6"/>
      <c r="Q344" s="6"/>
      <c r="R344" s="6"/>
      <c r="S344" s="6"/>
      <c r="T344" s="6"/>
      <c r="U344" s="6"/>
      <c r="V344" s="6"/>
      <c r="W344" s="6"/>
      <c r="X344" s="6"/>
      <c r="Y344" s="6"/>
      <c r="Z344" s="6"/>
      <c r="AA344" s="6"/>
    </row>
    <row r="345" spans="1:27" ht="14.25">
      <c r="A345" s="6"/>
      <c r="B345" s="6"/>
      <c r="C345" s="6"/>
      <c r="D345" s="6"/>
      <c r="E345" s="6"/>
      <c r="F345" s="6"/>
      <c r="G345" s="6"/>
      <c r="H345" s="6"/>
      <c r="I345" s="6"/>
      <c r="J345" s="6"/>
      <c r="K345" s="6"/>
      <c r="L345" s="6"/>
      <c r="M345" s="6"/>
      <c r="N345" s="6"/>
      <c r="O345" s="6"/>
      <c r="P345" s="6"/>
      <c r="Q345" s="6"/>
      <c r="R345" s="6"/>
      <c r="S345" s="6"/>
      <c r="T345" s="6"/>
      <c r="U345" s="6"/>
      <c r="V345" s="6"/>
      <c r="W345" s="6"/>
      <c r="X345" s="6"/>
      <c r="Y345" s="6"/>
      <c r="Z345" s="6"/>
      <c r="AA345" s="6"/>
    </row>
    <row r="346" spans="1:27" ht="14.25">
      <c r="A346" s="6"/>
      <c r="B346" s="6"/>
      <c r="C346" s="6"/>
      <c r="D346" s="6"/>
      <c r="E346" s="6"/>
      <c r="F346" s="6"/>
      <c r="G346" s="6"/>
      <c r="H346" s="6"/>
      <c r="I346" s="6"/>
      <c r="J346" s="6"/>
      <c r="K346" s="6"/>
      <c r="L346" s="6"/>
      <c r="M346" s="6"/>
      <c r="N346" s="6"/>
      <c r="O346" s="6"/>
      <c r="P346" s="6"/>
      <c r="Q346" s="6"/>
      <c r="R346" s="6"/>
      <c r="S346" s="6"/>
      <c r="T346" s="6"/>
      <c r="U346" s="6"/>
      <c r="V346" s="6"/>
      <c r="W346" s="6"/>
      <c r="X346" s="6"/>
      <c r="Y346" s="6"/>
      <c r="Z346" s="6"/>
      <c r="AA346" s="6"/>
    </row>
    <row r="347" spans="1:27" ht="14.25">
      <c r="A347" s="6"/>
      <c r="B347" s="6"/>
      <c r="C347" s="6"/>
      <c r="D347" s="6"/>
      <c r="E347" s="6"/>
      <c r="F347" s="6"/>
      <c r="G347" s="6"/>
      <c r="H347" s="6"/>
      <c r="I347" s="6"/>
      <c r="J347" s="6"/>
      <c r="K347" s="6"/>
      <c r="L347" s="6"/>
      <c r="M347" s="6"/>
      <c r="N347" s="6"/>
      <c r="O347" s="6"/>
      <c r="P347" s="6"/>
      <c r="Q347" s="6"/>
      <c r="R347" s="6"/>
      <c r="S347" s="6"/>
      <c r="T347" s="6"/>
      <c r="U347" s="6"/>
      <c r="V347" s="6"/>
      <c r="W347" s="6"/>
      <c r="X347" s="6"/>
      <c r="Y347" s="6"/>
      <c r="Z347" s="6"/>
      <c r="AA347" s="6"/>
    </row>
    <row r="348" spans="1:27" ht="14.25">
      <c r="A348" s="6"/>
      <c r="B348" s="6"/>
      <c r="C348" s="6"/>
      <c r="D348" s="6"/>
      <c r="E348" s="6"/>
      <c r="F348" s="6"/>
      <c r="G348" s="6"/>
      <c r="H348" s="6"/>
      <c r="I348" s="6"/>
      <c r="J348" s="6"/>
      <c r="K348" s="6"/>
      <c r="L348" s="6"/>
      <c r="M348" s="6"/>
      <c r="N348" s="6"/>
      <c r="O348" s="6"/>
      <c r="P348" s="6"/>
      <c r="Q348" s="6"/>
      <c r="R348" s="6"/>
      <c r="S348" s="6"/>
      <c r="T348" s="6"/>
      <c r="U348" s="6"/>
      <c r="V348" s="6"/>
      <c r="W348" s="6"/>
      <c r="X348" s="6"/>
      <c r="Y348" s="6"/>
      <c r="Z348" s="6"/>
      <c r="AA348" s="6"/>
    </row>
    <row r="349" spans="1:27" ht="14.25">
      <c r="A349" s="6"/>
      <c r="B349" s="6"/>
      <c r="C349" s="6"/>
      <c r="D349" s="6"/>
      <c r="E349" s="6"/>
      <c r="F349" s="6"/>
      <c r="G349" s="6"/>
      <c r="H349" s="6"/>
      <c r="I349" s="6"/>
      <c r="J349" s="6"/>
      <c r="K349" s="6"/>
      <c r="L349" s="6"/>
      <c r="M349" s="6"/>
      <c r="N349" s="6"/>
      <c r="O349" s="6"/>
      <c r="P349" s="6"/>
      <c r="Q349" s="6"/>
      <c r="R349" s="6"/>
      <c r="S349" s="6"/>
      <c r="T349" s="6"/>
      <c r="U349" s="6"/>
      <c r="V349" s="6"/>
      <c r="W349" s="6"/>
      <c r="X349" s="6"/>
      <c r="Y349" s="6"/>
      <c r="Z349" s="6"/>
      <c r="AA349" s="6"/>
    </row>
    <row r="350" spans="1:27" ht="14.25">
      <c r="A350" s="6"/>
      <c r="B350" s="6"/>
      <c r="C350" s="6"/>
      <c r="D350" s="6"/>
      <c r="E350" s="6"/>
      <c r="F350" s="6"/>
      <c r="G350" s="6"/>
      <c r="H350" s="6"/>
      <c r="I350" s="6"/>
      <c r="J350" s="6"/>
      <c r="K350" s="6"/>
      <c r="L350" s="6"/>
      <c r="M350" s="6"/>
      <c r="N350" s="6"/>
      <c r="O350" s="6"/>
      <c r="P350" s="6"/>
      <c r="Q350" s="6"/>
      <c r="R350" s="6"/>
      <c r="S350" s="6"/>
      <c r="T350" s="6"/>
      <c r="U350" s="6"/>
      <c r="V350" s="6"/>
      <c r="W350" s="6"/>
      <c r="X350" s="6"/>
      <c r="Y350" s="6"/>
      <c r="Z350" s="6"/>
      <c r="AA350" s="6"/>
    </row>
    <row r="351" spans="1:27" ht="14.25">
      <c r="A351" s="6"/>
      <c r="B351" s="6"/>
      <c r="C351" s="6"/>
      <c r="D351" s="6"/>
      <c r="E351" s="6"/>
      <c r="F351" s="6"/>
      <c r="G351" s="6"/>
      <c r="H351" s="6"/>
      <c r="I351" s="6"/>
      <c r="J351" s="6"/>
      <c r="K351" s="6"/>
      <c r="L351" s="6"/>
      <c r="M351" s="6"/>
      <c r="N351" s="6"/>
      <c r="O351" s="6"/>
      <c r="P351" s="6"/>
      <c r="Q351" s="6"/>
      <c r="R351" s="6"/>
      <c r="S351" s="6"/>
      <c r="T351" s="6"/>
      <c r="U351" s="6"/>
      <c r="V351" s="6"/>
      <c r="W351" s="6"/>
      <c r="X351" s="6"/>
      <c r="Y351" s="6"/>
      <c r="Z351" s="6"/>
      <c r="AA351" s="6"/>
    </row>
    <row r="352" spans="1:27" ht="14.25">
      <c r="A352" s="6"/>
      <c r="B352" s="6"/>
      <c r="C352" s="6"/>
      <c r="D352" s="6"/>
      <c r="E352" s="6"/>
      <c r="F352" s="6"/>
      <c r="G352" s="6"/>
      <c r="H352" s="6"/>
      <c r="I352" s="6"/>
      <c r="J352" s="6"/>
      <c r="K352" s="6"/>
      <c r="L352" s="6"/>
      <c r="M352" s="6"/>
      <c r="N352" s="6"/>
      <c r="O352" s="6"/>
      <c r="P352" s="6"/>
      <c r="Q352" s="6"/>
      <c r="R352" s="6"/>
      <c r="S352" s="6"/>
      <c r="T352" s="6"/>
      <c r="U352" s="6"/>
      <c r="V352" s="6"/>
      <c r="W352" s="6"/>
      <c r="X352" s="6"/>
      <c r="Y352" s="6"/>
      <c r="Z352" s="6"/>
      <c r="AA352" s="6"/>
    </row>
    <row r="353" spans="1:27" ht="14.25">
      <c r="A353" s="6"/>
      <c r="B353" s="6"/>
      <c r="C353" s="6"/>
      <c r="D353" s="6"/>
      <c r="E353" s="6"/>
      <c r="F353" s="6"/>
      <c r="G353" s="6"/>
      <c r="H353" s="6"/>
      <c r="I353" s="6"/>
      <c r="J353" s="6"/>
      <c r="K353" s="6"/>
      <c r="L353" s="6"/>
      <c r="M353" s="6"/>
      <c r="N353" s="6"/>
      <c r="O353" s="6"/>
      <c r="P353" s="6"/>
      <c r="Q353" s="6"/>
      <c r="R353" s="6"/>
      <c r="S353" s="6"/>
      <c r="T353" s="6"/>
      <c r="U353" s="6"/>
      <c r="V353" s="6"/>
      <c r="W353" s="6"/>
      <c r="X353" s="6"/>
      <c r="Y353" s="6"/>
      <c r="Z353" s="6"/>
      <c r="AA353" s="6"/>
    </row>
    <row r="354" spans="1:27" ht="14.25">
      <c r="A354" s="6"/>
      <c r="B354" s="6"/>
      <c r="C354" s="6"/>
      <c r="D354" s="6"/>
      <c r="E354" s="6"/>
      <c r="F354" s="6"/>
      <c r="G354" s="6"/>
      <c r="H354" s="6"/>
      <c r="I354" s="6"/>
      <c r="J354" s="6"/>
      <c r="K354" s="6"/>
      <c r="L354" s="6"/>
      <c r="M354" s="6"/>
      <c r="N354" s="6"/>
      <c r="O354" s="6"/>
      <c r="P354" s="6"/>
      <c r="Q354" s="6"/>
      <c r="R354" s="6"/>
      <c r="S354" s="6"/>
      <c r="T354" s="6"/>
      <c r="U354" s="6"/>
      <c r="V354" s="6"/>
      <c r="W354" s="6"/>
      <c r="X354" s="6"/>
      <c r="Y354" s="6"/>
      <c r="Z354" s="6"/>
      <c r="AA354" s="6"/>
    </row>
    <row r="355" spans="1:27" ht="14.25">
      <c r="A355" s="6"/>
      <c r="B355" s="6"/>
      <c r="C355" s="6"/>
      <c r="D355" s="6"/>
      <c r="E355" s="6"/>
      <c r="F355" s="6"/>
      <c r="G355" s="6"/>
      <c r="H355" s="6"/>
      <c r="I355" s="6"/>
      <c r="J355" s="6"/>
      <c r="K355" s="6"/>
      <c r="L355" s="6"/>
      <c r="M355" s="6"/>
      <c r="N355" s="6"/>
      <c r="O355" s="6"/>
      <c r="P355" s="6"/>
      <c r="Q355" s="6"/>
      <c r="R355" s="6"/>
      <c r="S355" s="6"/>
      <c r="T355" s="6"/>
      <c r="U355" s="6"/>
      <c r="V355" s="6"/>
      <c r="W355" s="6"/>
      <c r="X355" s="6"/>
      <c r="Y355" s="6"/>
      <c r="Z355" s="6"/>
      <c r="AA355" s="6"/>
    </row>
    <row r="356" spans="1:27" ht="14.25">
      <c r="A356" s="6"/>
      <c r="B356" s="6"/>
      <c r="C356" s="6"/>
      <c r="D356" s="6"/>
      <c r="E356" s="6"/>
      <c r="F356" s="6"/>
      <c r="G356" s="6"/>
      <c r="H356" s="6"/>
      <c r="I356" s="6"/>
      <c r="J356" s="6"/>
      <c r="K356" s="6"/>
      <c r="L356" s="6"/>
      <c r="M356" s="6"/>
      <c r="N356" s="6"/>
      <c r="O356" s="6"/>
      <c r="P356" s="6"/>
      <c r="Q356" s="6"/>
      <c r="R356" s="6"/>
      <c r="S356" s="6"/>
      <c r="T356" s="6"/>
      <c r="U356" s="6"/>
      <c r="V356" s="6"/>
      <c r="W356" s="6"/>
      <c r="X356" s="6"/>
      <c r="Y356" s="6"/>
      <c r="Z356" s="6"/>
      <c r="AA356" s="6"/>
    </row>
    <row r="357" spans="1:27" ht="14.25">
      <c r="A357" s="6"/>
      <c r="B357" s="6"/>
      <c r="C357" s="6"/>
      <c r="D357" s="6"/>
      <c r="E357" s="6"/>
      <c r="F357" s="6"/>
      <c r="G357" s="6"/>
      <c r="H357" s="6"/>
      <c r="I357" s="6"/>
      <c r="J357" s="6"/>
      <c r="K357" s="6"/>
      <c r="L357" s="6"/>
      <c r="M357" s="6"/>
      <c r="N357" s="6"/>
      <c r="O357" s="6"/>
      <c r="P357" s="6"/>
      <c r="Q357" s="6"/>
      <c r="R357" s="6"/>
      <c r="S357" s="6"/>
      <c r="T357" s="6"/>
      <c r="U357" s="6"/>
      <c r="V357" s="6"/>
      <c r="W357" s="6"/>
      <c r="X357" s="6"/>
      <c r="Y357" s="6"/>
      <c r="Z357" s="6"/>
      <c r="AA357" s="6"/>
    </row>
    <row r="358" spans="1:27" ht="14.25">
      <c r="A358" s="6"/>
      <c r="B358" s="6"/>
      <c r="C358" s="6"/>
      <c r="D358" s="6"/>
      <c r="E358" s="6"/>
      <c r="F358" s="6"/>
      <c r="G358" s="6"/>
      <c r="H358" s="6"/>
      <c r="I358" s="6"/>
      <c r="J358" s="6"/>
      <c r="K358" s="6"/>
      <c r="L358" s="6"/>
      <c r="M358" s="6"/>
      <c r="N358" s="6"/>
      <c r="O358" s="6"/>
      <c r="P358" s="6"/>
      <c r="Q358" s="6"/>
      <c r="R358" s="6"/>
      <c r="S358" s="6"/>
      <c r="T358" s="6"/>
      <c r="U358" s="6"/>
      <c r="V358" s="6"/>
      <c r="W358" s="6"/>
      <c r="X358" s="6"/>
      <c r="Y358" s="6"/>
      <c r="Z358" s="6"/>
      <c r="AA358" s="6"/>
    </row>
    <row r="359" spans="1:27" ht="14.25">
      <c r="A359" s="6"/>
      <c r="B359" s="6"/>
      <c r="C359" s="6"/>
      <c r="D359" s="6"/>
      <c r="E359" s="6"/>
      <c r="F359" s="6"/>
      <c r="G359" s="6"/>
      <c r="H359" s="6"/>
      <c r="I359" s="6"/>
      <c r="J359" s="6"/>
      <c r="K359" s="6"/>
      <c r="L359" s="6"/>
      <c r="M359" s="6"/>
      <c r="N359" s="6"/>
      <c r="O359" s="6"/>
      <c r="P359" s="6"/>
      <c r="Q359" s="6"/>
      <c r="R359" s="6"/>
      <c r="S359" s="6"/>
      <c r="T359" s="6"/>
      <c r="U359" s="6"/>
      <c r="V359" s="6"/>
      <c r="W359" s="6"/>
      <c r="X359" s="6"/>
      <c r="Y359" s="6"/>
      <c r="Z359" s="6"/>
      <c r="AA359" s="6"/>
    </row>
    <row r="360" spans="1:27" ht="14.25">
      <c r="A360" s="6"/>
      <c r="B360" s="6"/>
      <c r="C360" s="6"/>
      <c r="D360" s="6"/>
      <c r="E360" s="6"/>
      <c r="F360" s="6"/>
      <c r="G360" s="6"/>
      <c r="H360" s="6"/>
      <c r="I360" s="6"/>
      <c r="J360" s="6"/>
      <c r="K360" s="6"/>
      <c r="L360" s="6"/>
      <c r="M360" s="6"/>
      <c r="N360" s="6"/>
      <c r="O360" s="6"/>
      <c r="P360" s="6"/>
      <c r="Q360" s="6"/>
      <c r="R360" s="6"/>
      <c r="S360" s="6"/>
      <c r="T360" s="6"/>
      <c r="U360" s="6"/>
      <c r="V360" s="6"/>
      <c r="W360" s="6"/>
      <c r="X360" s="6"/>
      <c r="Y360" s="6"/>
      <c r="Z360" s="6"/>
      <c r="AA360" s="6"/>
    </row>
    <row r="361" spans="1:27" ht="14.25">
      <c r="A361" s="6"/>
      <c r="B361" s="6"/>
      <c r="C361" s="6"/>
      <c r="D361" s="6"/>
      <c r="E361" s="6"/>
      <c r="F361" s="6"/>
      <c r="G361" s="6"/>
      <c r="H361" s="6"/>
      <c r="I361" s="6"/>
      <c r="J361" s="6"/>
      <c r="K361" s="6"/>
      <c r="L361" s="6"/>
      <c r="M361" s="6"/>
      <c r="N361" s="6"/>
      <c r="O361" s="6"/>
      <c r="P361" s="6"/>
      <c r="Q361" s="6"/>
      <c r="R361" s="6"/>
      <c r="S361" s="6"/>
      <c r="T361" s="6"/>
      <c r="U361" s="6"/>
      <c r="V361" s="6"/>
      <c r="W361" s="6"/>
      <c r="X361" s="6"/>
      <c r="Y361" s="6"/>
      <c r="Z361" s="6"/>
      <c r="AA361" s="6"/>
    </row>
    <row r="362" spans="1:27" ht="14.25">
      <c r="A362" s="6"/>
      <c r="B362" s="6"/>
      <c r="C362" s="6"/>
      <c r="D362" s="6"/>
      <c r="E362" s="6"/>
      <c r="F362" s="6"/>
      <c r="G362" s="6"/>
      <c r="H362" s="6"/>
      <c r="I362" s="6"/>
      <c r="J362" s="6"/>
      <c r="K362" s="6"/>
      <c r="L362" s="6"/>
      <c r="M362" s="6"/>
      <c r="N362" s="6"/>
      <c r="O362" s="6"/>
      <c r="P362" s="6"/>
      <c r="Q362" s="6"/>
      <c r="R362" s="6"/>
      <c r="S362" s="6"/>
      <c r="T362" s="6"/>
      <c r="U362" s="6"/>
      <c r="V362" s="6"/>
      <c r="W362" s="6"/>
      <c r="X362" s="6"/>
      <c r="Y362" s="6"/>
      <c r="Z362" s="6"/>
      <c r="AA362" s="6"/>
    </row>
    <row r="363" spans="1:27" ht="14.25">
      <c r="A363" s="6"/>
      <c r="B363" s="6"/>
      <c r="C363" s="6"/>
      <c r="D363" s="6"/>
      <c r="E363" s="6"/>
      <c r="F363" s="6"/>
      <c r="G363" s="6"/>
      <c r="H363" s="6"/>
      <c r="I363" s="6"/>
      <c r="J363" s="6"/>
      <c r="K363" s="6"/>
      <c r="L363" s="6"/>
      <c r="M363" s="6"/>
      <c r="N363" s="6"/>
      <c r="O363" s="6"/>
      <c r="P363" s="6"/>
      <c r="Q363" s="6"/>
      <c r="R363" s="6"/>
      <c r="S363" s="6"/>
      <c r="T363" s="6"/>
      <c r="U363" s="6"/>
      <c r="V363" s="6"/>
      <c r="W363" s="6"/>
      <c r="X363" s="6"/>
      <c r="Y363" s="6"/>
      <c r="Z363" s="6"/>
      <c r="AA363" s="6"/>
    </row>
    <row r="364" spans="1:27" ht="14.25">
      <c r="A364" s="6"/>
      <c r="B364" s="6"/>
      <c r="C364" s="6"/>
      <c r="D364" s="6"/>
      <c r="E364" s="6"/>
      <c r="F364" s="6"/>
      <c r="G364" s="6"/>
      <c r="H364" s="6"/>
      <c r="I364" s="6"/>
      <c r="J364" s="6"/>
      <c r="K364" s="6"/>
      <c r="L364" s="6"/>
      <c r="M364" s="6"/>
      <c r="N364" s="6"/>
      <c r="O364" s="6"/>
      <c r="P364" s="6"/>
      <c r="Q364" s="6"/>
      <c r="R364" s="6"/>
      <c r="S364" s="6"/>
      <c r="T364" s="6"/>
      <c r="U364" s="6"/>
      <c r="V364" s="6"/>
      <c r="W364" s="6"/>
      <c r="X364" s="6"/>
      <c r="Y364" s="6"/>
      <c r="Z364" s="6"/>
      <c r="AA364" s="6"/>
    </row>
    <row r="365" spans="1:27" ht="14.25">
      <c r="A365" s="6"/>
      <c r="B365" s="6"/>
      <c r="C365" s="6"/>
      <c r="D365" s="6"/>
      <c r="E365" s="6"/>
      <c r="F365" s="6"/>
      <c r="G365" s="6"/>
      <c r="H365" s="6"/>
      <c r="I365" s="6"/>
      <c r="J365" s="6"/>
      <c r="K365" s="6"/>
      <c r="L365" s="6"/>
      <c r="M365" s="6"/>
      <c r="N365" s="6"/>
      <c r="O365" s="6"/>
      <c r="P365" s="6"/>
      <c r="Q365" s="6"/>
      <c r="R365" s="6"/>
      <c r="S365" s="6"/>
      <c r="T365" s="6"/>
      <c r="U365" s="6"/>
      <c r="V365" s="6"/>
      <c r="W365" s="6"/>
      <c r="X365" s="6"/>
      <c r="Y365" s="6"/>
      <c r="Z365" s="6"/>
      <c r="AA365" s="6"/>
    </row>
    <row r="366" spans="1:27" ht="14.25">
      <c r="A366" s="6"/>
      <c r="B366" s="6"/>
      <c r="C366" s="6"/>
      <c r="D366" s="6"/>
      <c r="E366" s="6"/>
      <c r="F366" s="6"/>
      <c r="G366" s="6"/>
      <c r="H366" s="6"/>
      <c r="I366" s="6"/>
      <c r="J366" s="6"/>
      <c r="K366" s="6"/>
      <c r="L366" s="6"/>
      <c r="M366" s="6"/>
      <c r="N366" s="6"/>
      <c r="O366" s="6"/>
      <c r="P366" s="6"/>
      <c r="Q366" s="6"/>
      <c r="R366" s="6"/>
      <c r="S366" s="6"/>
      <c r="T366" s="6"/>
      <c r="U366" s="6"/>
      <c r="V366" s="6"/>
      <c r="W366" s="6"/>
      <c r="X366" s="6"/>
      <c r="Y366" s="6"/>
      <c r="Z366" s="6"/>
      <c r="AA366" s="6"/>
    </row>
    <row r="367" spans="1:27" ht="14.25">
      <c r="A367" s="6"/>
      <c r="B367" s="6"/>
      <c r="C367" s="6"/>
      <c r="D367" s="6"/>
      <c r="E367" s="6"/>
      <c r="F367" s="6"/>
      <c r="G367" s="6"/>
      <c r="H367" s="6"/>
      <c r="I367" s="6"/>
      <c r="J367" s="6"/>
      <c r="K367" s="6"/>
      <c r="L367" s="6"/>
      <c r="M367" s="6"/>
      <c r="N367" s="6"/>
      <c r="O367" s="6"/>
      <c r="P367" s="6"/>
      <c r="Q367" s="6"/>
      <c r="R367" s="6"/>
      <c r="S367" s="6"/>
      <c r="T367" s="6"/>
      <c r="U367" s="6"/>
      <c r="V367" s="6"/>
      <c r="W367" s="6"/>
      <c r="X367" s="6"/>
      <c r="Y367" s="6"/>
      <c r="Z367" s="6"/>
      <c r="AA367" s="6"/>
    </row>
    <row r="368" spans="1:27" ht="14.25">
      <c r="A368" s="6"/>
      <c r="B368" s="6"/>
      <c r="C368" s="6"/>
      <c r="D368" s="6"/>
      <c r="E368" s="6"/>
      <c r="F368" s="6"/>
      <c r="G368" s="6"/>
      <c r="H368" s="6"/>
      <c r="I368" s="6"/>
      <c r="J368" s="6"/>
      <c r="K368" s="6"/>
      <c r="L368" s="6"/>
      <c r="M368" s="6"/>
      <c r="N368" s="6"/>
      <c r="O368" s="6"/>
      <c r="P368" s="6"/>
      <c r="Q368" s="6"/>
      <c r="R368" s="6"/>
      <c r="S368" s="6"/>
      <c r="T368" s="6"/>
      <c r="U368" s="6"/>
      <c r="V368" s="6"/>
      <c r="W368" s="6"/>
      <c r="X368" s="6"/>
      <c r="Y368" s="6"/>
      <c r="Z368" s="6"/>
      <c r="AA368" s="6"/>
    </row>
    <row r="369" spans="1:27" ht="14.25">
      <c r="A369" s="6"/>
      <c r="B369" s="6"/>
      <c r="C369" s="6"/>
      <c r="D369" s="6"/>
      <c r="E369" s="6"/>
      <c r="F369" s="6"/>
      <c r="G369" s="6"/>
      <c r="H369" s="6"/>
      <c r="I369" s="6"/>
      <c r="J369" s="6"/>
      <c r="K369" s="6"/>
      <c r="L369" s="6"/>
      <c r="M369" s="6"/>
      <c r="N369" s="6"/>
      <c r="O369" s="6"/>
      <c r="P369" s="6"/>
      <c r="Q369" s="6"/>
      <c r="R369" s="6"/>
      <c r="S369" s="6"/>
      <c r="T369" s="6"/>
      <c r="U369" s="6"/>
      <c r="V369" s="6"/>
      <c r="W369" s="6"/>
      <c r="X369" s="6"/>
      <c r="Y369" s="6"/>
      <c r="Z369" s="6"/>
      <c r="AA369" s="6"/>
    </row>
    <row r="370" spans="1:27" ht="14.25">
      <c r="A370" s="6"/>
      <c r="B370" s="6"/>
      <c r="C370" s="6"/>
      <c r="D370" s="6"/>
      <c r="E370" s="6"/>
      <c r="F370" s="6"/>
      <c r="G370" s="6"/>
      <c r="H370" s="6"/>
      <c r="I370" s="6"/>
      <c r="J370" s="6"/>
      <c r="K370" s="6"/>
      <c r="L370" s="6"/>
      <c r="M370" s="6"/>
      <c r="N370" s="6"/>
      <c r="O370" s="6"/>
      <c r="P370" s="6"/>
      <c r="Q370" s="6"/>
      <c r="R370" s="6"/>
      <c r="S370" s="6"/>
      <c r="T370" s="6"/>
      <c r="U370" s="6"/>
      <c r="V370" s="6"/>
      <c r="W370" s="6"/>
      <c r="X370" s="6"/>
      <c r="Y370" s="6"/>
      <c r="Z370" s="6"/>
      <c r="AA370" s="6"/>
    </row>
    <row r="371" spans="1:27" ht="14.25">
      <c r="A371" s="6"/>
      <c r="B371" s="6"/>
      <c r="C371" s="6"/>
      <c r="D371" s="6"/>
      <c r="E371" s="6"/>
      <c r="F371" s="6"/>
      <c r="G371" s="6"/>
      <c r="H371" s="6"/>
      <c r="I371" s="6"/>
      <c r="J371" s="6"/>
      <c r="K371" s="6"/>
      <c r="L371" s="6"/>
      <c r="M371" s="6"/>
      <c r="N371" s="6"/>
      <c r="O371" s="6"/>
      <c r="P371" s="6"/>
      <c r="Q371" s="6"/>
      <c r="R371" s="6"/>
      <c r="S371" s="6"/>
      <c r="T371" s="6"/>
      <c r="U371" s="6"/>
      <c r="V371" s="6"/>
      <c r="W371" s="6"/>
      <c r="X371" s="6"/>
      <c r="Y371" s="6"/>
      <c r="Z371" s="6"/>
      <c r="AA371" s="6"/>
    </row>
    <row r="372" spans="1:27" ht="14.25">
      <c r="A372" s="6"/>
      <c r="B372" s="6"/>
      <c r="C372" s="6"/>
      <c r="D372" s="6"/>
      <c r="E372" s="6"/>
      <c r="F372" s="6"/>
      <c r="G372" s="6"/>
      <c r="H372" s="6"/>
      <c r="I372" s="6"/>
      <c r="J372" s="6"/>
      <c r="K372" s="6"/>
      <c r="L372" s="6"/>
      <c r="M372" s="6"/>
      <c r="N372" s="6"/>
      <c r="O372" s="6"/>
      <c r="P372" s="6"/>
      <c r="Q372" s="6"/>
      <c r="R372" s="6"/>
      <c r="S372" s="6"/>
      <c r="T372" s="6"/>
      <c r="U372" s="6"/>
      <c r="V372" s="6"/>
      <c r="W372" s="6"/>
      <c r="X372" s="6"/>
      <c r="Y372" s="6"/>
      <c r="Z372" s="6"/>
      <c r="AA372" s="6"/>
    </row>
    <row r="373" spans="1:27" ht="14.25">
      <c r="A373" s="6"/>
      <c r="B373" s="6"/>
      <c r="C373" s="6"/>
      <c r="D373" s="6"/>
      <c r="E373" s="6"/>
      <c r="F373" s="6"/>
      <c r="G373" s="6"/>
      <c r="H373" s="6"/>
      <c r="I373" s="6"/>
      <c r="J373" s="6"/>
      <c r="K373" s="6"/>
      <c r="L373" s="6"/>
      <c r="M373" s="6"/>
      <c r="N373" s="6"/>
      <c r="O373" s="6"/>
      <c r="P373" s="6"/>
      <c r="Q373" s="6"/>
      <c r="R373" s="6"/>
      <c r="S373" s="6"/>
      <c r="T373" s="6"/>
      <c r="U373" s="6"/>
      <c r="V373" s="6"/>
      <c r="W373" s="6"/>
      <c r="X373" s="6"/>
      <c r="Y373" s="6"/>
      <c r="Z373" s="6"/>
      <c r="AA373" s="6"/>
    </row>
    <row r="374" spans="1:27" ht="14.25">
      <c r="A374" s="6"/>
      <c r="B374" s="6"/>
      <c r="C374" s="6"/>
      <c r="D374" s="6"/>
      <c r="E374" s="6"/>
      <c r="F374" s="6"/>
      <c r="G374" s="6"/>
      <c r="H374" s="6"/>
      <c r="I374" s="6"/>
      <c r="J374" s="6"/>
      <c r="K374" s="6"/>
      <c r="L374" s="6"/>
      <c r="M374" s="6"/>
      <c r="N374" s="6"/>
      <c r="O374" s="6"/>
      <c r="P374" s="6"/>
      <c r="Q374" s="6"/>
      <c r="R374" s="6"/>
      <c r="S374" s="6"/>
      <c r="T374" s="6"/>
      <c r="U374" s="6"/>
      <c r="V374" s="6"/>
      <c r="W374" s="6"/>
      <c r="X374" s="6"/>
      <c r="Y374" s="6"/>
      <c r="Z374" s="6"/>
      <c r="AA374" s="6"/>
    </row>
    <row r="375" spans="1:27" ht="14.25">
      <c r="A375" s="6"/>
      <c r="B375" s="6"/>
      <c r="C375" s="6"/>
      <c r="D375" s="6"/>
      <c r="E375" s="6"/>
      <c r="F375" s="6"/>
      <c r="G375" s="6"/>
      <c r="H375" s="6"/>
      <c r="I375" s="6"/>
      <c r="J375" s="6"/>
      <c r="K375" s="6"/>
      <c r="L375" s="6"/>
      <c r="M375" s="6"/>
      <c r="N375" s="6"/>
      <c r="O375" s="6"/>
      <c r="P375" s="6"/>
      <c r="Q375" s="6"/>
      <c r="R375" s="6"/>
      <c r="S375" s="6"/>
      <c r="T375" s="6"/>
      <c r="U375" s="6"/>
      <c r="V375" s="6"/>
      <c r="W375" s="6"/>
      <c r="X375" s="6"/>
      <c r="Y375" s="6"/>
      <c r="Z375" s="6"/>
      <c r="AA375" s="6"/>
    </row>
    <row r="376" spans="1:27" ht="14.25">
      <c r="A376" s="6"/>
      <c r="B376" s="6"/>
      <c r="C376" s="6"/>
      <c r="D376" s="6"/>
      <c r="E376" s="6"/>
      <c r="F376" s="6"/>
      <c r="G376" s="6"/>
      <c r="H376" s="6"/>
      <c r="I376" s="6"/>
      <c r="J376" s="6"/>
      <c r="K376" s="6"/>
      <c r="L376" s="6"/>
      <c r="M376" s="6"/>
      <c r="N376" s="6"/>
      <c r="O376" s="6"/>
      <c r="P376" s="6"/>
      <c r="Q376" s="6"/>
      <c r="R376" s="6"/>
      <c r="S376" s="6"/>
      <c r="T376" s="6"/>
      <c r="U376" s="6"/>
      <c r="V376" s="6"/>
      <c r="W376" s="6"/>
      <c r="X376" s="6"/>
      <c r="Y376" s="6"/>
      <c r="Z376" s="6"/>
      <c r="AA376" s="6"/>
    </row>
    <row r="377" spans="1:27" ht="14.25">
      <c r="A377" s="6"/>
      <c r="B377" s="6"/>
      <c r="C377" s="6"/>
      <c r="D377" s="6"/>
      <c r="E377" s="6"/>
      <c r="F377" s="6"/>
      <c r="G377" s="6"/>
      <c r="H377" s="6"/>
      <c r="I377" s="6"/>
      <c r="J377" s="6"/>
      <c r="K377" s="6"/>
      <c r="L377" s="6"/>
      <c r="M377" s="6"/>
      <c r="N377" s="6"/>
      <c r="O377" s="6"/>
      <c r="P377" s="6"/>
      <c r="Q377" s="6"/>
      <c r="R377" s="6"/>
      <c r="S377" s="6"/>
      <c r="T377" s="6"/>
      <c r="U377" s="6"/>
      <c r="V377" s="6"/>
      <c r="W377" s="6"/>
      <c r="X377" s="6"/>
      <c r="Y377" s="6"/>
      <c r="Z377" s="6"/>
      <c r="AA377" s="6"/>
    </row>
    <row r="378" spans="1:27" ht="14.25">
      <c r="A378" s="6"/>
      <c r="B378" s="6"/>
      <c r="C378" s="6"/>
      <c r="D378" s="6"/>
      <c r="E378" s="6"/>
      <c r="F378" s="6"/>
      <c r="G378" s="6"/>
      <c r="H378" s="6"/>
      <c r="I378" s="6"/>
      <c r="J378" s="6"/>
      <c r="K378" s="6"/>
      <c r="L378" s="6"/>
      <c r="M378" s="6"/>
      <c r="N378" s="6"/>
      <c r="O378" s="6"/>
      <c r="P378" s="6"/>
      <c r="Q378" s="6"/>
      <c r="R378" s="6"/>
      <c r="S378" s="6"/>
      <c r="T378" s="6"/>
      <c r="U378" s="6"/>
      <c r="V378" s="6"/>
      <c r="W378" s="6"/>
      <c r="X378" s="6"/>
      <c r="Y378" s="6"/>
      <c r="Z378" s="6"/>
      <c r="AA378" s="6"/>
    </row>
    <row r="379" spans="1:27" ht="14.25">
      <c r="A379" s="6"/>
      <c r="B379" s="6"/>
      <c r="C379" s="6"/>
      <c r="D379" s="6"/>
      <c r="E379" s="6"/>
      <c r="F379" s="6"/>
      <c r="G379" s="6"/>
      <c r="H379" s="6"/>
      <c r="I379" s="6"/>
      <c r="J379" s="6"/>
      <c r="K379" s="6"/>
      <c r="L379" s="6"/>
      <c r="M379" s="6"/>
      <c r="N379" s="6"/>
      <c r="O379" s="6"/>
      <c r="P379" s="6"/>
      <c r="Q379" s="6"/>
      <c r="R379" s="6"/>
      <c r="S379" s="6"/>
      <c r="T379" s="6"/>
      <c r="U379" s="6"/>
      <c r="V379" s="6"/>
      <c r="W379" s="6"/>
      <c r="X379" s="6"/>
      <c r="Y379" s="6"/>
      <c r="Z379" s="6"/>
      <c r="AA379" s="6"/>
    </row>
    <row r="380" spans="1:27" ht="14.25">
      <c r="A380" s="6"/>
      <c r="B380" s="6"/>
      <c r="C380" s="6"/>
      <c r="D380" s="6"/>
      <c r="E380" s="6"/>
      <c r="F380" s="6"/>
      <c r="G380" s="6"/>
      <c r="H380" s="6"/>
      <c r="I380" s="6"/>
      <c r="J380" s="6"/>
      <c r="K380" s="6"/>
      <c r="L380" s="6"/>
      <c r="M380" s="6"/>
      <c r="N380" s="6"/>
      <c r="O380" s="6"/>
      <c r="P380" s="6"/>
      <c r="Q380" s="6"/>
      <c r="R380" s="6"/>
      <c r="S380" s="6"/>
      <c r="T380" s="6"/>
      <c r="U380" s="6"/>
      <c r="V380" s="6"/>
      <c r="W380" s="6"/>
      <c r="X380" s="6"/>
      <c r="Y380" s="6"/>
      <c r="Z380" s="6"/>
      <c r="AA380" s="6"/>
    </row>
    <row r="381" spans="1:27" ht="14.25">
      <c r="A381" s="6"/>
      <c r="B381" s="6"/>
      <c r="C381" s="6"/>
      <c r="D381" s="6"/>
      <c r="E381" s="6"/>
      <c r="F381" s="6"/>
      <c r="G381" s="6"/>
      <c r="H381" s="6"/>
      <c r="I381" s="6"/>
      <c r="J381" s="6"/>
      <c r="K381" s="6"/>
      <c r="L381" s="6"/>
      <c r="M381" s="6"/>
      <c r="N381" s="6"/>
      <c r="O381" s="6"/>
      <c r="P381" s="6"/>
      <c r="Q381" s="6"/>
      <c r="R381" s="6"/>
      <c r="S381" s="6"/>
      <c r="T381" s="6"/>
      <c r="U381" s="6"/>
      <c r="V381" s="6"/>
      <c r="W381" s="6"/>
      <c r="X381" s="6"/>
      <c r="Y381" s="6"/>
      <c r="Z381" s="6"/>
      <c r="AA381" s="6"/>
    </row>
    <row r="382" spans="1:27" ht="14.25">
      <c r="A382" s="6"/>
      <c r="B382" s="6"/>
      <c r="C382" s="6"/>
      <c r="D382" s="6"/>
      <c r="E382" s="6"/>
      <c r="F382" s="6"/>
      <c r="G382" s="6"/>
      <c r="H382" s="6"/>
      <c r="I382" s="6"/>
      <c r="J382" s="6"/>
      <c r="K382" s="6"/>
      <c r="L382" s="6"/>
      <c r="M382" s="6"/>
      <c r="N382" s="6"/>
      <c r="O382" s="6"/>
      <c r="P382" s="6"/>
      <c r="Q382" s="6"/>
      <c r="R382" s="6"/>
      <c r="S382" s="6"/>
      <c r="T382" s="6"/>
      <c r="U382" s="6"/>
      <c r="V382" s="6"/>
      <c r="W382" s="6"/>
      <c r="X382" s="6"/>
      <c r="Y382" s="6"/>
      <c r="Z382" s="6"/>
      <c r="AA382" s="6"/>
    </row>
    <row r="383" spans="1:27" ht="14.25">
      <c r="A383" s="6"/>
      <c r="B383" s="6"/>
      <c r="C383" s="6"/>
      <c r="D383" s="6"/>
      <c r="E383" s="6"/>
      <c r="F383" s="6"/>
      <c r="G383" s="6"/>
      <c r="H383" s="6"/>
      <c r="I383" s="6"/>
      <c r="J383" s="6"/>
      <c r="K383" s="6"/>
      <c r="L383" s="6"/>
      <c r="M383" s="6"/>
      <c r="N383" s="6"/>
      <c r="O383" s="6"/>
      <c r="P383" s="6"/>
      <c r="Q383" s="6"/>
      <c r="R383" s="6"/>
      <c r="S383" s="6"/>
      <c r="T383" s="6"/>
      <c r="U383" s="6"/>
      <c r="V383" s="6"/>
      <c r="W383" s="6"/>
      <c r="X383" s="6"/>
      <c r="Y383" s="6"/>
      <c r="Z383" s="6"/>
      <c r="AA383" s="6"/>
    </row>
    <row r="384" spans="1:27" ht="14.25">
      <c r="A384" s="6"/>
      <c r="B384" s="6"/>
      <c r="C384" s="6"/>
      <c r="D384" s="6"/>
      <c r="E384" s="6"/>
      <c r="F384" s="6"/>
      <c r="G384" s="6"/>
      <c r="H384" s="6"/>
      <c r="I384" s="6"/>
      <c r="J384" s="6"/>
      <c r="K384" s="6"/>
      <c r="L384" s="6"/>
      <c r="M384" s="6"/>
      <c r="N384" s="6"/>
      <c r="O384" s="6"/>
      <c r="P384" s="6"/>
      <c r="Q384" s="6"/>
      <c r="R384" s="6"/>
      <c r="S384" s="6"/>
      <c r="T384" s="6"/>
      <c r="U384" s="6"/>
      <c r="V384" s="6"/>
      <c r="W384" s="6"/>
      <c r="X384" s="6"/>
      <c r="Y384" s="6"/>
      <c r="Z384" s="6"/>
      <c r="AA384" s="6"/>
    </row>
    <row r="385" spans="1:27" ht="14.25">
      <c r="A385" s="6"/>
      <c r="B385" s="6"/>
      <c r="C385" s="6"/>
      <c r="D385" s="6"/>
      <c r="E385" s="6"/>
      <c r="F385" s="6"/>
      <c r="G385" s="6"/>
      <c r="H385" s="6"/>
      <c r="I385" s="6"/>
      <c r="J385" s="6"/>
      <c r="K385" s="6"/>
      <c r="L385" s="6"/>
      <c r="M385" s="6"/>
      <c r="N385" s="6"/>
      <c r="O385" s="6"/>
      <c r="P385" s="6"/>
      <c r="Q385" s="6"/>
      <c r="R385" s="6"/>
      <c r="S385" s="6"/>
      <c r="T385" s="6"/>
      <c r="U385" s="6"/>
      <c r="V385" s="6"/>
      <c r="W385" s="6"/>
      <c r="X385" s="6"/>
      <c r="Y385" s="6"/>
      <c r="Z385" s="6"/>
      <c r="AA385" s="6"/>
    </row>
    <row r="386" spans="1:27" ht="14.25">
      <c r="A386" s="6"/>
      <c r="B386" s="6"/>
      <c r="C386" s="6"/>
      <c r="D386" s="6"/>
      <c r="E386" s="6"/>
      <c r="F386" s="6"/>
      <c r="G386" s="6"/>
      <c r="H386" s="6"/>
      <c r="I386" s="6"/>
      <c r="J386" s="6"/>
      <c r="K386" s="6"/>
      <c r="L386" s="6"/>
      <c r="M386" s="6"/>
      <c r="N386" s="6"/>
      <c r="O386" s="6"/>
      <c r="P386" s="6"/>
      <c r="Q386" s="6"/>
      <c r="R386" s="6"/>
      <c r="S386" s="6"/>
      <c r="T386" s="6"/>
      <c r="U386" s="6"/>
      <c r="V386" s="6"/>
      <c r="W386" s="6"/>
      <c r="X386" s="6"/>
      <c r="Y386" s="6"/>
      <c r="Z386" s="6"/>
      <c r="AA386" s="6"/>
    </row>
    <row r="387" spans="1:27" ht="14.25">
      <c r="A387" s="6"/>
      <c r="B387" s="6"/>
      <c r="C387" s="6"/>
      <c r="D387" s="6"/>
      <c r="E387" s="6"/>
      <c r="F387" s="6"/>
      <c r="G387" s="6"/>
      <c r="H387" s="6"/>
      <c r="I387" s="6"/>
      <c r="J387" s="6"/>
      <c r="K387" s="6"/>
      <c r="L387" s="6"/>
      <c r="M387" s="6"/>
      <c r="N387" s="6"/>
      <c r="O387" s="6"/>
      <c r="P387" s="6"/>
      <c r="Q387" s="6"/>
      <c r="R387" s="6"/>
      <c r="S387" s="6"/>
      <c r="T387" s="6"/>
      <c r="U387" s="6"/>
      <c r="V387" s="6"/>
      <c r="W387" s="6"/>
      <c r="X387" s="6"/>
      <c r="Y387" s="6"/>
      <c r="Z387" s="6"/>
      <c r="AA387" s="6"/>
    </row>
    <row r="388" spans="1:27" ht="14.25">
      <c r="A388" s="6"/>
      <c r="B388" s="6"/>
      <c r="C388" s="6"/>
      <c r="D388" s="6"/>
      <c r="E388" s="6"/>
      <c r="F388" s="6"/>
      <c r="G388" s="6"/>
      <c r="H388" s="6"/>
      <c r="I388" s="6"/>
      <c r="J388" s="6"/>
      <c r="K388" s="6"/>
      <c r="L388" s="6"/>
      <c r="M388" s="6"/>
      <c r="N388" s="6"/>
      <c r="O388" s="6"/>
      <c r="P388" s="6"/>
      <c r="Q388" s="6"/>
      <c r="R388" s="6"/>
      <c r="S388" s="6"/>
      <c r="T388" s="6"/>
      <c r="U388" s="6"/>
      <c r="V388" s="6"/>
      <c r="W388" s="6"/>
      <c r="X388" s="6"/>
      <c r="Y388" s="6"/>
      <c r="Z388" s="6"/>
      <c r="AA388" s="6"/>
    </row>
    <row r="389" spans="1:27" ht="14.25">
      <c r="A389" s="6"/>
      <c r="B389" s="6"/>
      <c r="C389" s="6"/>
      <c r="D389" s="6"/>
      <c r="E389" s="6"/>
      <c r="F389" s="6"/>
      <c r="G389" s="6"/>
      <c r="H389" s="6"/>
      <c r="I389" s="6"/>
      <c r="J389" s="6"/>
      <c r="K389" s="6"/>
      <c r="L389" s="6"/>
      <c r="M389" s="6"/>
      <c r="N389" s="6"/>
      <c r="O389" s="6"/>
      <c r="P389" s="6"/>
      <c r="Q389" s="6"/>
      <c r="R389" s="6"/>
      <c r="S389" s="6"/>
      <c r="T389" s="6"/>
      <c r="U389" s="6"/>
      <c r="V389" s="6"/>
      <c r="W389" s="6"/>
      <c r="X389" s="6"/>
      <c r="Y389" s="6"/>
      <c r="Z389" s="6"/>
      <c r="AA389" s="6"/>
    </row>
    <row r="390" spans="1:27" ht="14.25">
      <c r="A390" s="6"/>
      <c r="B390" s="6"/>
      <c r="C390" s="6"/>
      <c r="D390" s="6"/>
      <c r="E390" s="6"/>
      <c r="F390" s="6"/>
      <c r="G390" s="6"/>
      <c r="H390" s="6"/>
      <c r="I390" s="6"/>
      <c r="J390" s="6"/>
      <c r="K390" s="6"/>
      <c r="L390" s="6"/>
      <c r="M390" s="6"/>
      <c r="N390" s="6"/>
      <c r="O390" s="6"/>
      <c r="P390" s="6"/>
      <c r="Q390" s="6"/>
      <c r="R390" s="6"/>
      <c r="S390" s="6"/>
      <c r="T390" s="6"/>
      <c r="U390" s="6"/>
      <c r="V390" s="6"/>
      <c r="W390" s="6"/>
      <c r="X390" s="6"/>
      <c r="Y390" s="6"/>
      <c r="Z390" s="6"/>
      <c r="AA390" s="6"/>
    </row>
    <row r="391" spans="1:27" ht="14.25">
      <c r="A391" s="6"/>
      <c r="B391" s="6"/>
      <c r="C391" s="6"/>
      <c r="D391" s="6"/>
      <c r="E391" s="6"/>
      <c r="F391" s="6"/>
      <c r="G391" s="6"/>
      <c r="H391" s="6"/>
      <c r="I391" s="6"/>
      <c r="J391" s="6"/>
      <c r="K391" s="6"/>
      <c r="L391" s="6"/>
      <c r="M391" s="6"/>
      <c r="N391" s="6"/>
      <c r="O391" s="6"/>
      <c r="P391" s="6"/>
      <c r="Q391" s="6"/>
      <c r="R391" s="6"/>
      <c r="S391" s="6"/>
      <c r="T391" s="6"/>
      <c r="U391" s="6"/>
      <c r="V391" s="6"/>
      <c r="W391" s="6"/>
      <c r="X391" s="6"/>
      <c r="Y391" s="6"/>
      <c r="Z391" s="6"/>
      <c r="AA391" s="6"/>
    </row>
    <row r="392" spans="1:27" ht="14.25">
      <c r="A392" s="6"/>
      <c r="B392" s="6"/>
      <c r="C392" s="6"/>
      <c r="D392" s="6"/>
      <c r="E392" s="6"/>
      <c r="F392" s="6"/>
      <c r="G392" s="6"/>
      <c r="H392" s="6"/>
      <c r="I392" s="6"/>
      <c r="J392" s="6"/>
      <c r="K392" s="6"/>
      <c r="L392" s="6"/>
      <c r="M392" s="6"/>
      <c r="N392" s="6"/>
      <c r="O392" s="6"/>
      <c r="P392" s="6"/>
      <c r="Q392" s="6"/>
      <c r="R392" s="6"/>
      <c r="S392" s="6"/>
      <c r="T392" s="6"/>
      <c r="U392" s="6"/>
      <c r="V392" s="6"/>
      <c r="W392" s="6"/>
      <c r="X392" s="6"/>
      <c r="Y392" s="6"/>
      <c r="Z392" s="6"/>
      <c r="AA392" s="6"/>
    </row>
    <row r="393" spans="1:27" ht="14.25">
      <c r="A393" s="6"/>
      <c r="B393" s="6"/>
      <c r="C393" s="6"/>
      <c r="D393" s="6"/>
      <c r="E393" s="6"/>
      <c r="F393" s="6"/>
      <c r="G393" s="6"/>
      <c r="H393" s="6"/>
      <c r="I393" s="6"/>
      <c r="J393" s="6"/>
      <c r="K393" s="6"/>
      <c r="L393" s="6"/>
      <c r="M393" s="6"/>
      <c r="N393" s="6"/>
      <c r="O393" s="6"/>
      <c r="P393" s="6"/>
      <c r="Q393" s="6"/>
      <c r="R393" s="6"/>
      <c r="S393" s="6"/>
      <c r="T393" s="6"/>
      <c r="U393" s="6"/>
      <c r="V393" s="6"/>
      <c r="W393" s="6"/>
      <c r="X393" s="6"/>
      <c r="Y393" s="6"/>
      <c r="Z393" s="6"/>
      <c r="AA393" s="6"/>
    </row>
    <row r="394" spans="1:27" ht="14.25">
      <c r="A394" s="6"/>
      <c r="B394" s="6"/>
      <c r="C394" s="6"/>
      <c r="D394" s="6"/>
      <c r="E394" s="6"/>
      <c r="F394" s="6"/>
      <c r="G394" s="6"/>
      <c r="H394" s="6"/>
      <c r="I394" s="6"/>
      <c r="J394" s="6"/>
      <c r="K394" s="6"/>
      <c r="L394" s="6"/>
      <c r="M394" s="6"/>
      <c r="N394" s="6"/>
      <c r="O394" s="6"/>
      <c r="P394" s="6"/>
      <c r="Q394" s="6"/>
      <c r="R394" s="6"/>
      <c r="S394" s="6"/>
      <c r="T394" s="6"/>
      <c r="U394" s="6"/>
      <c r="V394" s="6"/>
      <c r="W394" s="6"/>
      <c r="X394" s="6"/>
      <c r="Y394" s="6"/>
      <c r="Z394" s="6"/>
      <c r="AA394" s="6"/>
    </row>
    <row r="395" spans="1:27" ht="14.25">
      <c r="A395" s="6"/>
      <c r="B395" s="6"/>
      <c r="C395" s="6"/>
      <c r="D395" s="6"/>
      <c r="E395" s="6"/>
      <c r="F395" s="6"/>
      <c r="G395" s="6"/>
      <c r="H395" s="6"/>
      <c r="I395" s="6"/>
      <c r="J395" s="6"/>
      <c r="K395" s="6"/>
      <c r="L395" s="6"/>
      <c r="M395" s="6"/>
      <c r="N395" s="6"/>
      <c r="O395" s="6"/>
      <c r="P395" s="6"/>
      <c r="Q395" s="6"/>
      <c r="R395" s="6"/>
      <c r="S395" s="6"/>
      <c r="T395" s="6"/>
      <c r="U395" s="6"/>
      <c r="V395" s="6"/>
      <c r="W395" s="6"/>
      <c r="X395" s="6"/>
      <c r="Y395" s="6"/>
      <c r="Z395" s="6"/>
      <c r="AA395" s="6"/>
    </row>
    <row r="396" spans="1:27" ht="14.25">
      <c r="A396" s="6"/>
      <c r="B396" s="6"/>
      <c r="C396" s="6"/>
      <c r="D396" s="6"/>
      <c r="E396" s="6"/>
      <c r="F396" s="6"/>
      <c r="G396" s="6"/>
      <c r="H396" s="6"/>
      <c r="I396" s="6"/>
      <c r="J396" s="6"/>
      <c r="K396" s="6"/>
      <c r="L396" s="6"/>
      <c r="M396" s="6"/>
      <c r="N396" s="6"/>
      <c r="O396" s="6"/>
      <c r="P396" s="6"/>
      <c r="Q396" s="6"/>
      <c r="R396" s="6"/>
      <c r="S396" s="6"/>
      <c r="T396" s="6"/>
      <c r="U396" s="6"/>
      <c r="V396" s="6"/>
      <c r="W396" s="6"/>
      <c r="X396" s="6"/>
      <c r="Y396" s="6"/>
      <c r="Z396" s="6"/>
      <c r="AA396" s="6"/>
    </row>
    <row r="397" spans="1:27" ht="14.25">
      <c r="A397" s="6"/>
      <c r="B397" s="6"/>
      <c r="C397" s="6"/>
      <c r="D397" s="6"/>
      <c r="E397" s="6"/>
      <c r="F397" s="6"/>
      <c r="G397" s="6"/>
      <c r="H397" s="6"/>
      <c r="I397" s="6"/>
      <c r="J397" s="6"/>
      <c r="K397" s="6"/>
      <c r="L397" s="6"/>
      <c r="M397" s="6"/>
      <c r="N397" s="6"/>
      <c r="O397" s="6"/>
      <c r="P397" s="6"/>
      <c r="Q397" s="6"/>
      <c r="R397" s="6"/>
      <c r="S397" s="6"/>
      <c r="T397" s="6"/>
      <c r="U397" s="6"/>
      <c r="V397" s="6"/>
      <c r="W397" s="6"/>
      <c r="X397" s="6"/>
      <c r="Y397" s="6"/>
      <c r="Z397" s="6"/>
      <c r="AA397" s="6"/>
    </row>
    <row r="398" spans="1:27" ht="14.25">
      <c r="A398" s="6"/>
      <c r="B398" s="6"/>
      <c r="C398" s="6"/>
      <c r="D398" s="6"/>
      <c r="E398" s="6"/>
      <c r="F398" s="6"/>
      <c r="G398" s="6"/>
      <c r="H398" s="6"/>
      <c r="I398" s="6"/>
      <c r="J398" s="6"/>
      <c r="K398" s="6"/>
      <c r="L398" s="6"/>
      <c r="M398" s="6"/>
      <c r="N398" s="6"/>
      <c r="O398" s="6"/>
      <c r="P398" s="6"/>
      <c r="Q398" s="6"/>
      <c r="R398" s="6"/>
      <c r="S398" s="6"/>
      <c r="T398" s="6"/>
      <c r="U398" s="6"/>
      <c r="V398" s="6"/>
      <c r="W398" s="6"/>
      <c r="X398" s="6"/>
      <c r="Y398" s="6"/>
      <c r="Z398" s="6"/>
      <c r="AA398" s="6"/>
    </row>
    <row r="399" spans="1:27" ht="14.25">
      <c r="A399" s="6"/>
      <c r="B399" s="6"/>
      <c r="C399" s="6"/>
      <c r="D399" s="6"/>
      <c r="E399" s="6"/>
      <c r="F399" s="6"/>
      <c r="G399" s="6"/>
      <c r="H399" s="6"/>
      <c r="I399" s="6"/>
      <c r="J399" s="6"/>
      <c r="K399" s="6"/>
      <c r="L399" s="6"/>
      <c r="M399" s="6"/>
      <c r="N399" s="6"/>
      <c r="O399" s="6"/>
      <c r="P399" s="6"/>
      <c r="Q399" s="6"/>
      <c r="R399" s="6"/>
      <c r="S399" s="6"/>
      <c r="T399" s="6"/>
      <c r="U399" s="6"/>
      <c r="V399" s="6"/>
      <c r="W399" s="6"/>
      <c r="X399" s="6"/>
      <c r="Y399" s="6"/>
      <c r="Z399" s="6"/>
      <c r="AA399" s="6"/>
    </row>
    <row r="400" spans="1:27" ht="14.25">
      <c r="A400" s="6"/>
      <c r="B400" s="6"/>
      <c r="C400" s="6"/>
      <c r="D400" s="6"/>
      <c r="E400" s="6"/>
      <c r="F400" s="6"/>
      <c r="G400" s="6"/>
      <c r="H400" s="6"/>
      <c r="I400" s="6"/>
      <c r="J400" s="6"/>
      <c r="K400" s="6"/>
      <c r="L400" s="6"/>
      <c r="M400" s="6"/>
      <c r="N400" s="6"/>
      <c r="O400" s="6"/>
      <c r="P400" s="6"/>
      <c r="Q400" s="6"/>
      <c r="R400" s="6"/>
      <c r="S400" s="6"/>
      <c r="T400" s="6"/>
      <c r="U400" s="6"/>
      <c r="V400" s="6"/>
      <c r="W400" s="6"/>
      <c r="X400" s="6"/>
      <c r="Y400" s="6"/>
      <c r="Z400" s="6"/>
      <c r="AA400" s="6"/>
    </row>
    <row r="401" spans="1:27" ht="14.25">
      <c r="A401" s="6"/>
      <c r="B401" s="6"/>
      <c r="C401" s="6"/>
      <c r="D401" s="6"/>
      <c r="E401" s="6"/>
      <c r="F401" s="6"/>
      <c r="G401" s="6"/>
      <c r="H401" s="6"/>
      <c r="I401" s="6"/>
      <c r="J401" s="6"/>
      <c r="K401" s="6"/>
      <c r="L401" s="6"/>
      <c r="M401" s="6"/>
      <c r="N401" s="6"/>
      <c r="O401" s="6"/>
      <c r="P401" s="6"/>
      <c r="Q401" s="6"/>
      <c r="R401" s="6"/>
      <c r="S401" s="6"/>
      <c r="T401" s="6"/>
      <c r="U401" s="6"/>
      <c r="V401" s="6"/>
      <c r="W401" s="6"/>
      <c r="X401" s="6"/>
      <c r="Y401" s="6"/>
      <c r="Z401" s="6"/>
      <c r="AA401" s="6"/>
    </row>
    <row r="402" spans="1:27" ht="14.25">
      <c r="A402" s="6"/>
      <c r="B402" s="6"/>
      <c r="C402" s="6"/>
      <c r="D402" s="6"/>
      <c r="E402" s="6"/>
      <c r="F402" s="6"/>
      <c r="G402" s="6"/>
      <c r="H402" s="6"/>
      <c r="I402" s="6"/>
      <c r="J402" s="6"/>
      <c r="K402" s="6"/>
      <c r="L402" s="6"/>
      <c r="M402" s="6"/>
      <c r="N402" s="6"/>
      <c r="O402" s="6"/>
      <c r="P402" s="6"/>
      <c r="Q402" s="6"/>
      <c r="R402" s="6"/>
      <c r="S402" s="6"/>
      <c r="T402" s="6"/>
      <c r="U402" s="6"/>
      <c r="V402" s="6"/>
      <c r="W402" s="6"/>
      <c r="X402" s="6"/>
      <c r="Y402" s="6"/>
      <c r="Z402" s="6"/>
      <c r="AA402" s="6"/>
    </row>
    <row r="403" spans="1:27" ht="14.25">
      <c r="A403" s="6"/>
      <c r="B403" s="6"/>
      <c r="C403" s="6"/>
      <c r="D403" s="6"/>
      <c r="E403" s="6"/>
      <c r="F403" s="6"/>
      <c r="G403" s="6"/>
      <c r="H403" s="6"/>
      <c r="I403" s="6"/>
      <c r="J403" s="6"/>
      <c r="K403" s="6"/>
      <c r="L403" s="6"/>
      <c r="M403" s="6"/>
      <c r="N403" s="6"/>
      <c r="O403" s="6"/>
      <c r="P403" s="6"/>
      <c r="Q403" s="6"/>
      <c r="R403" s="6"/>
      <c r="S403" s="6"/>
      <c r="T403" s="6"/>
      <c r="U403" s="6"/>
      <c r="V403" s="6"/>
      <c r="W403" s="6"/>
      <c r="X403" s="6"/>
      <c r="Y403" s="6"/>
      <c r="Z403" s="6"/>
      <c r="AA403" s="6"/>
    </row>
    <row r="404" spans="1:27" ht="14.25">
      <c r="A404" s="6"/>
      <c r="B404" s="6"/>
      <c r="C404" s="6"/>
      <c r="D404" s="6"/>
      <c r="E404" s="6"/>
      <c r="F404" s="6"/>
      <c r="G404" s="6"/>
      <c r="H404" s="6"/>
      <c r="I404" s="6"/>
      <c r="J404" s="6"/>
      <c r="K404" s="6"/>
      <c r="L404" s="6"/>
      <c r="M404" s="6"/>
      <c r="N404" s="6"/>
      <c r="O404" s="6"/>
      <c r="P404" s="6"/>
      <c r="Q404" s="6"/>
      <c r="R404" s="6"/>
      <c r="S404" s="6"/>
      <c r="T404" s="6"/>
      <c r="U404" s="6"/>
      <c r="V404" s="6"/>
      <c r="W404" s="6"/>
      <c r="X404" s="6"/>
      <c r="Y404" s="6"/>
      <c r="Z404" s="6"/>
      <c r="AA404" s="6"/>
    </row>
    <row r="405" spans="1:27" ht="14.25">
      <c r="A405" s="6"/>
      <c r="B405" s="6"/>
      <c r="C405" s="6"/>
      <c r="D405" s="6"/>
      <c r="E405" s="6"/>
      <c r="F405" s="6"/>
      <c r="G405" s="6"/>
      <c r="H405" s="6"/>
      <c r="I405" s="6"/>
      <c r="J405" s="6"/>
      <c r="K405" s="6"/>
      <c r="L405" s="6"/>
      <c r="M405" s="6"/>
      <c r="N405" s="6"/>
      <c r="O405" s="6"/>
      <c r="P405" s="6"/>
      <c r="Q405" s="6"/>
      <c r="R405" s="6"/>
      <c r="S405" s="6"/>
      <c r="T405" s="6"/>
      <c r="U405" s="6"/>
      <c r="V405" s="6"/>
      <c r="W405" s="6"/>
      <c r="X405" s="6"/>
      <c r="Y405" s="6"/>
      <c r="Z405" s="6"/>
      <c r="AA405" s="6"/>
    </row>
    <row r="406" spans="1:27" ht="14.25">
      <c r="A406" s="6"/>
      <c r="B406" s="6"/>
      <c r="C406" s="6"/>
      <c r="D406" s="6"/>
      <c r="E406" s="6"/>
      <c r="F406" s="6"/>
      <c r="G406" s="6"/>
      <c r="H406" s="6"/>
      <c r="I406" s="6"/>
      <c r="J406" s="6"/>
      <c r="K406" s="6"/>
      <c r="L406" s="6"/>
      <c r="M406" s="6"/>
      <c r="N406" s="6"/>
      <c r="O406" s="6"/>
      <c r="P406" s="6"/>
      <c r="Q406" s="6"/>
      <c r="R406" s="6"/>
      <c r="S406" s="6"/>
      <c r="T406" s="6"/>
      <c r="U406" s="6"/>
      <c r="V406" s="6"/>
      <c r="W406" s="6"/>
      <c r="X406" s="6"/>
      <c r="Y406" s="6"/>
      <c r="Z406" s="6"/>
      <c r="AA406" s="6"/>
    </row>
    <row r="407" spans="1:27" ht="14.25">
      <c r="A407" s="6"/>
      <c r="B407" s="6"/>
      <c r="C407" s="6"/>
      <c r="D407" s="6"/>
      <c r="E407" s="6"/>
      <c r="F407" s="6"/>
      <c r="G407" s="6"/>
      <c r="H407" s="6"/>
      <c r="I407" s="6"/>
      <c r="J407" s="6"/>
      <c r="K407" s="6"/>
      <c r="L407" s="6"/>
      <c r="M407" s="6"/>
      <c r="N407" s="6"/>
      <c r="O407" s="6"/>
      <c r="P407" s="6"/>
      <c r="Q407" s="6"/>
      <c r="R407" s="6"/>
      <c r="S407" s="6"/>
      <c r="T407" s="6"/>
      <c r="U407" s="6"/>
      <c r="V407" s="6"/>
      <c r="W407" s="6"/>
      <c r="X407" s="6"/>
      <c r="Y407" s="6"/>
      <c r="Z407" s="6"/>
      <c r="AA407" s="6"/>
    </row>
    <row r="408" spans="1:27" ht="14.25">
      <c r="A408" s="6"/>
      <c r="B408" s="6"/>
      <c r="C408" s="6"/>
      <c r="D408" s="6"/>
      <c r="E408" s="6"/>
      <c r="F408" s="6"/>
      <c r="G408" s="6"/>
      <c r="H408" s="6"/>
      <c r="I408" s="6"/>
      <c r="J408" s="6"/>
      <c r="K408" s="6"/>
      <c r="L408" s="6"/>
      <c r="M408" s="6"/>
      <c r="N408" s="6"/>
      <c r="O408" s="6"/>
      <c r="P408" s="6"/>
      <c r="Q408" s="6"/>
      <c r="R408" s="6"/>
      <c r="S408" s="6"/>
      <c r="T408" s="6"/>
      <c r="U408" s="6"/>
      <c r="V408" s="6"/>
      <c r="W408" s="6"/>
      <c r="X408" s="6"/>
      <c r="Y408" s="6"/>
      <c r="Z408" s="6"/>
      <c r="AA408" s="6"/>
    </row>
    <row r="409" spans="1:27" ht="14.25">
      <c r="A409" s="6"/>
      <c r="B409" s="6"/>
      <c r="C409" s="6"/>
      <c r="D409" s="6"/>
      <c r="E409" s="6"/>
      <c r="F409" s="6"/>
      <c r="G409" s="6"/>
      <c r="H409" s="6"/>
      <c r="I409" s="6"/>
      <c r="J409" s="6"/>
      <c r="K409" s="6"/>
      <c r="L409" s="6"/>
      <c r="M409" s="6"/>
      <c r="N409" s="6"/>
      <c r="O409" s="6"/>
      <c r="P409" s="6"/>
      <c r="Q409" s="6"/>
      <c r="R409" s="6"/>
      <c r="S409" s="6"/>
      <c r="T409" s="6"/>
      <c r="U409" s="6"/>
      <c r="V409" s="6"/>
      <c r="W409" s="6"/>
      <c r="X409" s="6"/>
      <c r="Y409" s="6"/>
      <c r="Z409" s="6"/>
      <c r="AA409" s="6"/>
    </row>
    <row r="410" spans="1:27" ht="14.25">
      <c r="A410" s="6"/>
      <c r="B410" s="6"/>
      <c r="C410" s="6"/>
      <c r="D410" s="6"/>
      <c r="E410" s="6"/>
      <c r="F410" s="6"/>
      <c r="G410" s="6"/>
      <c r="H410" s="6"/>
      <c r="I410" s="6"/>
      <c r="J410" s="6"/>
      <c r="K410" s="6"/>
      <c r="L410" s="6"/>
      <c r="M410" s="6"/>
      <c r="N410" s="6"/>
      <c r="O410" s="6"/>
      <c r="P410" s="6"/>
      <c r="Q410" s="6"/>
      <c r="R410" s="6"/>
      <c r="S410" s="6"/>
      <c r="T410" s="6"/>
      <c r="U410" s="6"/>
      <c r="V410" s="6"/>
      <c r="W410" s="6"/>
      <c r="X410" s="6"/>
      <c r="Y410" s="6"/>
      <c r="Z410" s="6"/>
      <c r="AA410" s="6"/>
    </row>
    <row r="411" spans="1:27" ht="14.25">
      <c r="A411" s="6"/>
      <c r="B411" s="6"/>
      <c r="C411" s="6"/>
      <c r="D411" s="6"/>
      <c r="E411" s="6"/>
      <c r="F411" s="6"/>
      <c r="G411" s="6"/>
      <c r="H411" s="6"/>
      <c r="I411" s="6"/>
      <c r="J411" s="6"/>
      <c r="K411" s="6"/>
      <c r="L411" s="6"/>
      <c r="M411" s="6"/>
      <c r="N411" s="6"/>
      <c r="O411" s="6"/>
      <c r="P411" s="6"/>
      <c r="Q411" s="6"/>
      <c r="R411" s="6"/>
      <c r="S411" s="6"/>
      <c r="T411" s="6"/>
      <c r="U411" s="6"/>
      <c r="V411" s="6"/>
      <c r="W411" s="6"/>
      <c r="X411" s="6"/>
      <c r="Y411" s="6"/>
      <c r="Z411" s="6"/>
      <c r="AA411" s="6"/>
    </row>
    <row r="412" spans="1:27" ht="14.25">
      <c r="A412" s="6"/>
      <c r="B412" s="6"/>
      <c r="C412" s="6"/>
      <c r="D412" s="6"/>
      <c r="E412" s="6"/>
      <c r="F412" s="6"/>
      <c r="G412" s="6"/>
      <c r="H412" s="6"/>
      <c r="I412" s="6"/>
      <c r="J412" s="6"/>
      <c r="K412" s="6"/>
      <c r="L412" s="6"/>
      <c r="M412" s="6"/>
      <c r="N412" s="6"/>
      <c r="O412" s="6"/>
      <c r="P412" s="6"/>
      <c r="Q412" s="6"/>
      <c r="R412" s="6"/>
      <c r="S412" s="6"/>
      <c r="T412" s="6"/>
      <c r="U412" s="6"/>
      <c r="V412" s="6"/>
      <c r="W412" s="6"/>
      <c r="X412" s="6"/>
      <c r="Y412" s="6"/>
      <c r="Z412" s="6"/>
      <c r="AA412" s="6"/>
    </row>
    <row r="413" spans="1:27" ht="14.25">
      <c r="A413" s="6"/>
      <c r="B413" s="6"/>
      <c r="C413" s="6"/>
      <c r="D413" s="6"/>
      <c r="E413" s="6"/>
      <c r="F413" s="6"/>
      <c r="G413" s="6"/>
      <c r="H413" s="6"/>
      <c r="I413" s="6"/>
      <c r="J413" s="6"/>
      <c r="K413" s="6"/>
      <c r="L413" s="6"/>
      <c r="M413" s="6"/>
      <c r="N413" s="6"/>
      <c r="O413" s="6"/>
      <c r="P413" s="6"/>
      <c r="Q413" s="6"/>
      <c r="R413" s="6"/>
      <c r="S413" s="6"/>
      <c r="T413" s="6"/>
      <c r="U413" s="6"/>
      <c r="V413" s="6"/>
      <c r="W413" s="6"/>
      <c r="X413" s="6"/>
      <c r="Y413" s="6"/>
      <c r="Z413" s="6"/>
      <c r="AA413" s="6"/>
    </row>
    <row r="414" spans="1:27" ht="14.25">
      <c r="A414" s="6"/>
      <c r="B414" s="6"/>
      <c r="C414" s="6"/>
      <c r="D414" s="6"/>
      <c r="E414" s="6"/>
      <c r="F414" s="6"/>
      <c r="G414" s="6"/>
      <c r="H414" s="6"/>
      <c r="I414" s="6"/>
      <c r="J414" s="6"/>
      <c r="K414" s="6"/>
      <c r="L414" s="6"/>
      <c r="M414" s="6"/>
      <c r="N414" s="6"/>
      <c r="O414" s="6"/>
      <c r="P414" s="6"/>
      <c r="Q414" s="6"/>
      <c r="R414" s="6"/>
      <c r="S414" s="6"/>
      <c r="T414" s="6"/>
      <c r="U414" s="6"/>
      <c r="V414" s="6"/>
      <c r="W414" s="6"/>
      <c r="X414" s="6"/>
      <c r="Y414" s="6"/>
      <c r="Z414" s="6"/>
      <c r="AA414" s="6"/>
    </row>
    <row r="415" spans="1:27" ht="14.25">
      <c r="A415" s="6"/>
      <c r="B415" s="6"/>
      <c r="C415" s="6"/>
      <c r="D415" s="6"/>
      <c r="E415" s="6"/>
      <c r="F415" s="6"/>
      <c r="G415" s="6"/>
      <c r="H415" s="6"/>
      <c r="I415" s="6"/>
      <c r="J415" s="6"/>
      <c r="K415" s="6"/>
      <c r="L415" s="6"/>
      <c r="M415" s="6"/>
      <c r="N415" s="6"/>
      <c r="O415" s="6"/>
      <c r="P415" s="6"/>
      <c r="Q415" s="6"/>
      <c r="R415" s="6"/>
      <c r="S415" s="6"/>
      <c r="T415" s="6"/>
      <c r="U415" s="6"/>
      <c r="V415" s="6"/>
      <c r="W415" s="6"/>
      <c r="X415" s="6"/>
      <c r="Y415" s="6"/>
      <c r="Z415" s="6"/>
      <c r="AA415" s="6"/>
    </row>
    <row r="416" spans="1:27" ht="14.25">
      <c r="A416" s="6"/>
      <c r="B416" s="6"/>
      <c r="C416" s="6"/>
      <c r="D416" s="6"/>
      <c r="E416" s="6"/>
      <c r="F416" s="6"/>
      <c r="G416" s="6"/>
      <c r="H416" s="6"/>
      <c r="I416" s="6"/>
      <c r="J416" s="6"/>
      <c r="K416" s="6"/>
      <c r="L416" s="6"/>
      <c r="M416" s="6"/>
      <c r="N416" s="6"/>
      <c r="O416" s="6"/>
      <c r="P416" s="6"/>
      <c r="Q416" s="6"/>
      <c r="R416" s="6"/>
      <c r="S416" s="6"/>
      <c r="T416" s="6"/>
      <c r="U416" s="6"/>
      <c r="V416" s="6"/>
      <c r="W416" s="6"/>
      <c r="X416" s="6"/>
      <c r="Y416" s="6"/>
      <c r="Z416" s="6"/>
      <c r="AA416" s="6"/>
    </row>
    <row r="417" spans="1:27" ht="14.25">
      <c r="A417" s="6"/>
      <c r="B417" s="6"/>
      <c r="C417" s="6"/>
      <c r="D417" s="6"/>
      <c r="E417" s="6"/>
      <c r="F417" s="6"/>
      <c r="G417" s="6"/>
      <c r="H417" s="6"/>
      <c r="I417" s="6"/>
      <c r="J417" s="6"/>
      <c r="K417" s="6"/>
      <c r="L417" s="6"/>
      <c r="M417" s="6"/>
      <c r="N417" s="6"/>
      <c r="O417" s="6"/>
      <c r="P417" s="6"/>
      <c r="Q417" s="6"/>
      <c r="R417" s="6"/>
      <c r="S417" s="6"/>
      <c r="T417" s="6"/>
      <c r="U417" s="6"/>
      <c r="V417" s="6"/>
      <c r="W417" s="6"/>
      <c r="X417" s="6"/>
      <c r="Y417" s="6"/>
      <c r="Z417" s="6"/>
      <c r="AA417" s="6"/>
    </row>
    <row r="418" spans="1:27" ht="14.25">
      <c r="A418" s="6"/>
      <c r="B418" s="6"/>
      <c r="C418" s="6"/>
      <c r="D418" s="6"/>
      <c r="E418" s="6"/>
      <c r="F418" s="6"/>
      <c r="G418" s="6"/>
      <c r="H418" s="6"/>
      <c r="I418" s="6"/>
      <c r="J418" s="6"/>
      <c r="K418" s="6"/>
      <c r="L418" s="6"/>
      <c r="M418" s="6"/>
      <c r="N418" s="6"/>
      <c r="O418" s="6"/>
      <c r="P418" s="6"/>
      <c r="Q418" s="6"/>
      <c r="R418" s="6"/>
      <c r="S418" s="6"/>
      <c r="T418" s="6"/>
      <c r="U418" s="6"/>
      <c r="V418" s="6"/>
      <c r="W418" s="6"/>
      <c r="X418" s="6"/>
      <c r="Y418" s="6"/>
      <c r="Z418" s="6"/>
      <c r="AA418" s="6"/>
    </row>
    <row r="419" spans="1:27" ht="14.25">
      <c r="A419" s="6"/>
      <c r="B419" s="6"/>
      <c r="C419" s="6"/>
      <c r="D419" s="6"/>
      <c r="E419" s="6"/>
      <c r="F419" s="6"/>
      <c r="G419" s="6"/>
      <c r="H419" s="6"/>
      <c r="I419" s="6"/>
      <c r="J419" s="6"/>
      <c r="K419" s="6"/>
      <c r="L419" s="6"/>
      <c r="M419" s="6"/>
      <c r="N419" s="6"/>
      <c r="O419" s="6"/>
      <c r="P419" s="6"/>
      <c r="Q419" s="6"/>
      <c r="R419" s="6"/>
      <c r="S419" s="6"/>
      <c r="T419" s="6"/>
      <c r="U419" s="6"/>
      <c r="V419" s="6"/>
      <c r="W419" s="6"/>
      <c r="X419" s="6"/>
      <c r="Y419" s="6"/>
      <c r="Z419" s="6"/>
      <c r="AA419" s="6"/>
    </row>
    <row r="420" spans="1:27" ht="14.25">
      <c r="A420" s="6"/>
      <c r="B420" s="6"/>
      <c r="C420" s="6"/>
      <c r="D420" s="6"/>
      <c r="E420" s="6"/>
      <c r="F420" s="6"/>
      <c r="G420" s="6"/>
      <c r="H420" s="6"/>
      <c r="I420" s="6"/>
      <c r="J420" s="6"/>
      <c r="K420" s="6"/>
      <c r="L420" s="6"/>
      <c r="M420" s="6"/>
      <c r="N420" s="6"/>
      <c r="O420" s="6"/>
      <c r="P420" s="6"/>
      <c r="Q420" s="6"/>
      <c r="R420" s="6"/>
      <c r="S420" s="6"/>
      <c r="T420" s="6"/>
      <c r="U420" s="6"/>
      <c r="V420" s="6"/>
      <c r="W420" s="6"/>
      <c r="X420" s="6"/>
      <c r="Y420" s="6"/>
      <c r="Z420" s="6"/>
      <c r="AA420" s="6"/>
    </row>
    <row r="421" spans="1:27" ht="14.25">
      <c r="A421" s="6"/>
      <c r="B421" s="6"/>
      <c r="C421" s="6"/>
      <c r="D421" s="6"/>
      <c r="E421" s="6"/>
      <c r="F421" s="6"/>
      <c r="G421" s="6"/>
      <c r="H421" s="6"/>
      <c r="I421" s="6"/>
      <c r="J421" s="6"/>
      <c r="K421" s="6"/>
      <c r="L421" s="6"/>
      <c r="M421" s="6"/>
      <c r="N421" s="6"/>
      <c r="O421" s="6"/>
      <c r="P421" s="6"/>
      <c r="Q421" s="6"/>
      <c r="R421" s="6"/>
      <c r="S421" s="6"/>
      <c r="T421" s="6"/>
      <c r="U421" s="6"/>
      <c r="V421" s="6"/>
      <c r="W421" s="6"/>
      <c r="X421" s="6"/>
      <c r="Y421" s="6"/>
      <c r="Z421" s="6"/>
      <c r="AA421" s="6"/>
    </row>
    <row r="422" spans="1:27" ht="14.25">
      <c r="A422" s="6"/>
      <c r="B422" s="6"/>
      <c r="C422" s="6"/>
      <c r="D422" s="6"/>
      <c r="E422" s="6"/>
      <c r="F422" s="6"/>
      <c r="G422" s="6"/>
      <c r="H422" s="6"/>
      <c r="I422" s="6"/>
      <c r="J422" s="6"/>
      <c r="K422" s="6"/>
      <c r="L422" s="6"/>
      <c r="M422" s="6"/>
      <c r="N422" s="6"/>
      <c r="O422" s="6"/>
      <c r="P422" s="6"/>
      <c r="Q422" s="6"/>
      <c r="R422" s="6"/>
      <c r="S422" s="6"/>
      <c r="T422" s="6"/>
      <c r="U422" s="6"/>
      <c r="V422" s="6"/>
      <c r="W422" s="6"/>
      <c r="X422" s="6"/>
      <c r="Y422" s="6"/>
      <c r="Z422" s="6"/>
      <c r="AA422" s="6"/>
    </row>
    <row r="423" spans="1:27" ht="14.25">
      <c r="A423" s="6"/>
      <c r="B423" s="6"/>
      <c r="C423" s="6"/>
      <c r="D423" s="6"/>
      <c r="E423" s="6"/>
      <c r="F423" s="6"/>
      <c r="G423" s="6"/>
      <c r="H423" s="6"/>
      <c r="I423" s="6"/>
      <c r="J423" s="6"/>
      <c r="K423" s="6"/>
      <c r="L423" s="6"/>
      <c r="M423" s="6"/>
      <c r="N423" s="6"/>
      <c r="O423" s="6"/>
      <c r="P423" s="6"/>
      <c r="Q423" s="6"/>
      <c r="R423" s="6"/>
      <c r="S423" s="6"/>
      <c r="T423" s="6"/>
      <c r="U423" s="6"/>
      <c r="V423" s="6"/>
      <c r="W423" s="6"/>
      <c r="X423" s="6"/>
      <c r="Y423" s="6"/>
      <c r="Z423" s="6"/>
      <c r="AA423" s="6"/>
    </row>
    <row r="424" spans="1:27" ht="14.25">
      <c r="A424" s="6"/>
      <c r="B424" s="6"/>
      <c r="C424" s="6"/>
      <c r="D424" s="6"/>
      <c r="E424" s="6"/>
      <c r="F424" s="6"/>
      <c r="G424" s="6"/>
      <c r="H424" s="6"/>
      <c r="I424" s="6"/>
      <c r="J424" s="6"/>
      <c r="K424" s="6"/>
      <c r="L424" s="6"/>
      <c r="M424" s="6"/>
      <c r="N424" s="6"/>
      <c r="O424" s="6"/>
      <c r="P424" s="6"/>
      <c r="Q424" s="6"/>
      <c r="R424" s="6"/>
      <c r="S424" s="6"/>
      <c r="T424" s="6"/>
      <c r="U424" s="6"/>
      <c r="V424" s="6"/>
      <c r="W424" s="6"/>
      <c r="X424" s="6"/>
      <c r="Y424" s="6"/>
      <c r="Z424" s="6"/>
      <c r="AA424" s="6"/>
    </row>
    <row r="425" spans="1:27" ht="14.25">
      <c r="A425" s="6"/>
      <c r="B425" s="6"/>
      <c r="C425" s="6"/>
      <c r="D425" s="6"/>
      <c r="E425" s="6"/>
      <c r="F425" s="6"/>
      <c r="G425" s="6"/>
      <c r="H425" s="6"/>
      <c r="I425" s="6"/>
      <c r="J425" s="6"/>
      <c r="K425" s="6"/>
      <c r="L425" s="6"/>
      <c r="M425" s="6"/>
      <c r="N425" s="6"/>
      <c r="O425" s="6"/>
      <c r="P425" s="6"/>
      <c r="Q425" s="6"/>
      <c r="R425" s="6"/>
      <c r="S425" s="6"/>
      <c r="T425" s="6"/>
      <c r="U425" s="6"/>
      <c r="V425" s="6"/>
      <c r="W425" s="6"/>
      <c r="X425" s="6"/>
      <c r="Y425" s="6"/>
      <c r="Z425" s="6"/>
      <c r="AA425" s="6"/>
    </row>
    <row r="426" spans="1:27" ht="14.25">
      <c r="A426" s="6"/>
      <c r="B426" s="6"/>
      <c r="C426" s="6"/>
      <c r="D426" s="6"/>
      <c r="E426" s="6"/>
      <c r="F426" s="6"/>
      <c r="G426" s="6"/>
      <c r="H426" s="6"/>
      <c r="I426" s="6"/>
      <c r="J426" s="6"/>
      <c r="K426" s="6"/>
      <c r="L426" s="6"/>
      <c r="M426" s="6"/>
      <c r="N426" s="6"/>
      <c r="O426" s="6"/>
      <c r="P426" s="6"/>
      <c r="Q426" s="6"/>
      <c r="R426" s="6"/>
      <c r="S426" s="6"/>
      <c r="T426" s="6"/>
      <c r="U426" s="6"/>
      <c r="V426" s="6"/>
      <c r="W426" s="6"/>
      <c r="X426" s="6"/>
      <c r="Y426" s="6"/>
      <c r="Z426" s="6"/>
      <c r="AA426" s="6"/>
    </row>
    <row r="427" spans="1:27" ht="14.25">
      <c r="A427" s="6"/>
      <c r="B427" s="6"/>
      <c r="C427" s="6"/>
      <c r="D427" s="6"/>
      <c r="E427" s="6"/>
      <c r="F427" s="6"/>
      <c r="G427" s="6"/>
      <c r="H427" s="6"/>
      <c r="I427" s="6"/>
      <c r="J427" s="6"/>
      <c r="K427" s="6"/>
      <c r="L427" s="6"/>
      <c r="M427" s="6"/>
      <c r="N427" s="6"/>
      <c r="O427" s="6"/>
      <c r="P427" s="6"/>
      <c r="Q427" s="6"/>
      <c r="R427" s="6"/>
      <c r="S427" s="6"/>
      <c r="T427" s="6"/>
      <c r="U427" s="6"/>
      <c r="V427" s="6"/>
      <c r="W427" s="6"/>
      <c r="X427" s="6"/>
      <c r="Y427" s="6"/>
      <c r="Z427" s="6"/>
      <c r="AA427" s="6"/>
    </row>
    <row r="428" spans="1:27" ht="14.25">
      <c r="A428" s="6"/>
      <c r="B428" s="6"/>
      <c r="C428" s="6"/>
      <c r="D428" s="6"/>
      <c r="E428" s="6"/>
      <c r="F428" s="6"/>
      <c r="G428" s="6"/>
      <c r="H428" s="6"/>
      <c r="I428" s="6"/>
      <c r="J428" s="6"/>
      <c r="K428" s="6"/>
      <c r="L428" s="6"/>
      <c r="M428" s="6"/>
      <c r="N428" s="6"/>
      <c r="O428" s="6"/>
      <c r="P428" s="6"/>
      <c r="Q428" s="6"/>
      <c r="R428" s="6"/>
      <c r="S428" s="6"/>
      <c r="T428" s="6"/>
      <c r="U428" s="6"/>
      <c r="V428" s="6"/>
      <c r="W428" s="6"/>
      <c r="X428" s="6"/>
      <c r="Y428" s="6"/>
      <c r="Z428" s="6"/>
      <c r="AA428" s="6"/>
    </row>
    <row r="429" spans="1:27" ht="14.25">
      <c r="A429" s="6"/>
      <c r="B429" s="6"/>
      <c r="C429" s="6"/>
      <c r="D429" s="6"/>
      <c r="E429" s="6"/>
      <c r="F429" s="6"/>
      <c r="G429" s="6"/>
      <c r="H429" s="6"/>
      <c r="I429" s="6"/>
      <c r="J429" s="6"/>
      <c r="K429" s="6"/>
      <c r="L429" s="6"/>
      <c r="M429" s="6"/>
      <c r="N429" s="6"/>
      <c r="O429" s="6"/>
      <c r="P429" s="6"/>
      <c r="Q429" s="6"/>
      <c r="R429" s="6"/>
      <c r="S429" s="6"/>
      <c r="T429" s="6"/>
      <c r="U429" s="6"/>
      <c r="V429" s="6"/>
      <c r="W429" s="6"/>
      <c r="X429" s="6"/>
      <c r="Y429" s="6"/>
      <c r="Z429" s="6"/>
      <c r="AA429" s="6"/>
    </row>
    <row r="430" spans="1:27" ht="14.25">
      <c r="A430" s="6"/>
      <c r="B430" s="6"/>
      <c r="C430" s="6"/>
      <c r="D430" s="6"/>
      <c r="E430" s="6"/>
      <c r="F430" s="6"/>
      <c r="G430" s="6"/>
      <c r="H430" s="6"/>
      <c r="I430" s="6"/>
      <c r="J430" s="6"/>
      <c r="K430" s="6"/>
      <c r="L430" s="6"/>
      <c r="M430" s="6"/>
      <c r="N430" s="6"/>
      <c r="O430" s="6"/>
      <c r="P430" s="6"/>
      <c r="Q430" s="6"/>
      <c r="R430" s="6"/>
      <c r="S430" s="6"/>
      <c r="T430" s="6"/>
      <c r="U430" s="6"/>
      <c r="V430" s="6"/>
      <c r="W430" s="6"/>
      <c r="X430" s="6"/>
      <c r="Y430" s="6"/>
      <c r="Z430" s="6"/>
      <c r="AA430" s="6"/>
    </row>
    <row r="431" spans="1:27" ht="14.25">
      <c r="A431" s="6"/>
      <c r="B431" s="6"/>
      <c r="C431" s="6"/>
      <c r="D431" s="6"/>
      <c r="E431" s="6"/>
      <c r="F431" s="6"/>
      <c r="G431" s="6"/>
      <c r="H431" s="6"/>
      <c r="I431" s="6"/>
      <c r="J431" s="6"/>
      <c r="K431" s="6"/>
      <c r="L431" s="6"/>
      <c r="M431" s="6"/>
      <c r="N431" s="6"/>
      <c r="O431" s="6"/>
      <c r="P431" s="6"/>
      <c r="Q431" s="6"/>
      <c r="R431" s="6"/>
      <c r="S431" s="6"/>
      <c r="T431" s="6"/>
      <c r="U431" s="6"/>
      <c r="V431" s="6"/>
      <c r="W431" s="6"/>
      <c r="X431" s="6"/>
      <c r="Y431" s="6"/>
      <c r="Z431" s="6"/>
      <c r="AA431" s="6"/>
    </row>
    <row r="432" spans="1:27" ht="14.25">
      <c r="A432" s="6"/>
      <c r="B432" s="6"/>
      <c r="C432" s="6"/>
      <c r="D432" s="6"/>
      <c r="E432" s="6"/>
      <c r="F432" s="6"/>
      <c r="G432" s="6"/>
      <c r="H432" s="6"/>
      <c r="I432" s="6"/>
      <c r="J432" s="6"/>
      <c r="K432" s="6"/>
      <c r="L432" s="6"/>
      <c r="M432" s="6"/>
      <c r="N432" s="6"/>
      <c r="O432" s="6"/>
      <c r="P432" s="6"/>
      <c r="Q432" s="6"/>
      <c r="R432" s="6"/>
      <c r="S432" s="6"/>
      <c r="T432" s="6"/>
      <c r="U432" s="6"/>
      <c r="V432" s="6"/>
      <c r="W432" s="6"/>
      <c r="X432" s="6"/>
      <c r="Y432" s="6"/>
      <c r="Z432" s="6"/>
      <c r="AA432" s="6"/>
    </row>
    <row r="433" spans="1:27" ht="14.25">
      <c r="A433" s="6"/>
      <c r="B433" s="6"/>
      <c r="C433" s="6"/>
      <c r="D433" s="6"/>
      <c r="E433" s="6"/>
      <c r="F433" s="6"/>
      <c r="G433" s="6"/>
      <c r="H433" s="6"/>
      <c r="I433" s="6"/>
      <c r="J433" s="6"/>
      <c r="K433" s="6"/>
      <c r="L433" s="6"/>
      <c r="M433" s="6"/>
      <c r="N433" s="6"/>
      <c r="O433" s="6"/>
      <c r="P433" s="6"/>
      <c r="Q433" s="6"/>
      <c r="R433" s="6"/>
      <c r="S433" s="6"/>
      <c r="T433" s="6"/>
      <c r="U433" s="6"/>
      <c r="V433" s="6"/>
      <c r="W433" s="6"/>
      <c r="X433" s="6"/>
      <c r="Y433" s="6"/>
      <c r="Z433" s="6"/>
      <c r="AA433" s="6"/>
    </row>
    <row r="434" spans="1:27" ht="14.25">
      <c r="A434" s="6"/>
      <c r="B434" s="6"/>
      <c r="C434" s="6"/>
      <c r="D434" s="6"/>
      <c r="E434" s="6"/>
      <c r="F434" s="6"/>
      <c r="G434" s="6"/>
      <c r="H434" s="6"/>
      <c r="I434" s="6"/>
      <c r="J434" s="6"/>
      <c r="K434" s="6"/>
      <c r="L434" s="6"/>
      <c r="M434" s="6"/>
      <c r="N434" s="6"/>
      <c r="O434" s="6"/>
      <c r="P434" s="6"/>
      <c r="Q434" s="6"/>
      <c r="R434" s="6"/>
      <c r="S434" s="6"/>
      <c r="T434" s="6"/>
      <c r="U434" s="6"/>
      <c r="V434" s="6"/>
      <c r="W434" s="6"/>
      <c r="X434" s="6"/>
      <c r="Y434" s="6"/>
      <c r="Z434" s="6"/>
      <c r="AA434" s="6"/>
    </row>
    <row r="435" spans="1:27" ht="14.25">
      <c r="A435" s="6"/>
      <c r="B435" s="6"/>
      <c r="C435" s="6"/>
      <c r="D435" s="6"/>
      <c r="E435" s="6"/>
      <c r="F435" s="6"/>
      <c r="G435" s="6"/>
      <c r="H435" s="6"/>
      <c r="I435" s="6"/>
      <c r="J435" s="6"/>
      <c r="K435" s="6"/>
      <c r="L435" s="6"/>
      <c r="M435" s="6"/>
      <c r="N435" s="6"/>
      <c r="O435" s="6"/>
      <c r="P435" s="6"/>
      <c r="Q435" s="6"/>
      <c r="R435" s="6"/>
      <c r="S435" s="6"/>
      <c r="T435" s="6"/>
      <c r="U435" s="6"/>
      <c r="V435" s="6"/>
      <c r="W435" s="6"/>
      <c r="X435" s="6"/>
      <c r="Y435" s="6"/>
      <c r="Z435" s="6"/>
      <c r="AA435" s="6"/>
    </row>
    <row r="436" spans="1:27" ht="14.25">
      <c r="A436" s="6"/>
      <c r="B436" s="6"/>
      <c r="C436" s="6"/>
      <c r="D436" s="6"/>
      <c r="E436" s="6"/>
      <c r="F436" s="6"/>
      <c r="G436" s="6"/>
      <c r="H436" s="6"/>
      <c r="I436" s="6"/>
      <c r="J436" s="6"/>
      <c r="K436" s="6"/>
      <c r="L436" s="6"/>
      <c r="M436" s="6"/>
      <c r="N436" s="6"/>
      <c r="O436" s="6"/>
      <c r="P436" s="6"/>
      <c r="Q436" s="6"/>
      <c r="R436" s="6"/>
      <c r="S436" s="6"/>
      <c r="T436" s="6"/>
      <c r="U436" s="6"/>
      <c r="V436" s="6"/>
      <c r="W436" s="6"/>
      <c r="X436" s="6"/>
      <c r="Y436" s="6"/>
      <c r="Z436" s="6"/>
      <c r="AA436" s="6"/>
    </row>
    <row r="437" spans="1:27" ht="14.25">
      <c r="A437" s="6"/>
      <c r="B437" s="6"/>
      <c r="C437" s="6"/>
      <c r="D437" s="6"/>
      <c r="E437" s="6"/>
      <c r="F437" s="6"/>
      <c r="G437" s="6"/>
      <c r="H437" s="6"/>
      <c r="I437" s="6"/>
      <c r="J437" s="6"/>
      <c r="K437" s="6"/>
      <c r="L437" s="6"/>
      <c r="M437" s="6"/>
      <c r="N437" s="6"/>
      <c r="O437" s="6"/>
      <c r="P437" s="6"/>
      <c r="Q437" s="6"/>
      <c r="R437" s="6"/>
      <c r="S437" s="6"/>
      <c r="T437" s="6"/>
      <c r="U437" s="6"/>
      <c r="V437" s="6"/>
      <c r="W437" s="6"/>
      <c r="X437" s="6"/>
      <c r="Y437" s="6"/>
      <c r="Z437" s="6"/>
      <c r="AA437" s="6"/>
    </row>
    <row r="438" spans="1:27" ht="14.25">
      <c r="A438" s="6"/>
      <c r="B438" s="6"/>
      <c r="C438" s="6"/>
      <c r="D438" s="6"/>
      <c r="E438" s="6"/>
      <c r="F438" s="6"/>
      <c r="G438" s="6"/>
      <c r="H438" s="6"/>
      <c r="I438" s="6"/>
      <c r="J438" s="6"/>
      <c r="K438" s="6"/>
      <c r="L438" s="6"/>
      <c r="M438" s="6"/>
      <c r="N438" s="6"/>
      <c r="O438" s="6"/>
      <c r="P438" s="6"/>
      <c r="Q438" s="6"/>
      <c r="R438" s="6"/>
      <c r="S438" s="6"/>
      <c r="T438" s="6"/>
      <c r="U438" s="6"/>
      <c r="V438" s="6"/>
      <c r="W438" s="6"/>
      <c r="X438" s="6"/>
      <c r="Y438" s="6"/>
      <c r="Z438" s="6"/>
      <c r="AA438" s="6"/>
    </row>
    <row r="439" spans="1:27" ht="14.25">
      <c r="A439" s="6"/>
      <c r="B439" s="6"/>
      <c r="C439" s="6"/>
      <c r="D439" s="6"/>
      <c r="E439" s="6"/>
      <c r="F439" s="6"/>
      <c r="G439" s="6"/>
      <c r="H439" s="6"/>
      <c r="I439" s="6"/>
      <c r="J439" s="6"/>
      <c r="K439" s="6"/>
      <c r="L439" s="6"/>
      <c r="M439" s="6"/>
      <c r="N439" s="6"/>
      <c r="O439" s="6"/>
      <c r="P439" s="6"/>
      <c r="Q439" s="6"/>
      <c r="R439" s="6"/>
      <c r="S439" s="6"/>
      <c r="T439" s="6"/>
      <c r="U439" s="6"/>
      <c r="V439" s="6"/>
      <c r="W439" s="6"/>
      <c r="X439" s="6"/>
      <c r="Y439" s="6"/>
      <c r="Z439" s="6"/>
      <c r="AA439" s="6"/>
    </row>
    <row r="440" spans="1:27" ht="14.25">
      <c r="A440" s="6"/>
      <c r="B440" s="6"/>
      <c r="C440" s="6"/>
      <c r="D440" s="6"/>
      <c r="E440" s="6"/>
      <c r="F440" s="6"/>
      <c r="G440" s="6"/>
      <c r="H440" s="6"/>
      <c r="I440" s="6"/>
      <c r="J440" s="6"/>
      <c r="K440" s="6"/>
      <c r="L440" s="6"/>
      <c r="M440" s="6"/>
      <c r="N440" s="6"/>
      <c r="O440" s="6"/>
      <c r="P440" s="6"/>
      <c r="Q440" s="6"/>
      <c r="R440" s="6"/>
      <c r="S440" s="6"/>
      <c r="T440" s="6"/>
      <c r="U440" s="6"/>
      <c r="V440" s="6"/>
      <c r="W440" s="6"/>
      <c r="X440" s="6"/>
      <c r="Y440" s="6"/>
      <c r="Z440" s="6"/>
      <c r="AA440" s="6"/>
    </row>
    <row r="441" spans="1:27" ht="14.25">
      <c r="A441" s="6"/>
      <c r="B441" s="6"/>
      <c r="C441" s="6"/>
      <c r="D441" s="6"/>
      <c r="E441" s="6"/>
      <c r="F441" s="6"/>
      <c r="G441" s="6"/>
      <c r="H441" s="6"/>
      <c r="I441" s="6"/>
      <c r="J441" s="6"/>
      <c r="K441" s="6"/>
      <c r="L441" s="6"/>
      <c r="M441" s="6"/>
      <c r="N441" s="6"/>
      <c r="O441" s="6"/>
      <c r="P441" s="6"/>
      <c r="Q441" s="6"/>
      <c r="R441" s="6"/>
      <c r="S441" s="6"/>
      <c r="T441" s="6"/>
      <c r="U441" s="6"/>
      <c r="V441" s="6"/>
      <c r="W441" s="6"/>
      <c r="X441" s="6"/>
      <c r="Y441" s="6"/>
      <c r="Z441" s="6"/>
      <c r="AA441" s="6"/>
    </row>
    <row r="442" spans="1:27" ht="14.25">
      <c r="A442" s="6"/>
      <c r="B442" s="6"/>
      <c r="C442" s="6"/>
      <c r="D442" s="6"/>
      <c r="E442" s="6"/>
      <c r="F442" s="6"/>
      <c r="G442" s="6"/>
      <c r="H442" s="6"/>
      <c r="I442" s="6"/>
      <c r="J442" s="6"/>
      <c r="K442" s="6"/>
      <c r="L442" s="6"/>
      <c r="M442" s="6"/>
      <c r="N442" s="6"/>
      <c r="O442" s="6"/>
      <c r="P442" s="6"/>
      <c r="Q442" s="6"/>
      <c r="R442" s="6"/>
      <c r="S442" s="6"/>
      <c r="T442" s="6"/>
      <c r="U442" s="6"/>
      <c r="V442" s="6"/>
      <c r="W442" s="6"/>
      <c r="X442" s="6"/>
      <c r="Y442" s="6"/>
      <c r="Z442" s="6"/>
      <c r="AA442" s="6"/>
    </row>
    <row r="443" spans="1:27" ht="14.25">
      <c r="A443" s="6"/>
      <c r="B443" s="6"/>
      <c r="C443" s="6"/>
      <c r="D443" s="6"/>
      <c r="E443" s="6"/>
      <c r="F443" s="6"/>
      <c r="G443" s="6"/>
      <c r="H443" s="6"/>
      <c r="I443" s="6"/>
      <c r="J443" s="6"/>
      <c r="K443" s="6"/>
      <c r="L443" s="6"/>
      <c r="M443" s="6"/>
      <c r="N443" s="6"/>
      <c r="O443" s="6"/>
      <c r="P443" s="6"/>
      <c r="Q443" s="6"/>
      <c r="R443" s="6"/>
      <c r="S443" s="6"/>
      <c r="T443" s="6"/>
      <c r="U443" s="6"/>
      <c r="V443" s="6"/>
      <c r="W443" s="6"/>
      <c r="X443" s="6"/>
      <c r="Y443" s="6"/>
      <c r="Z443" s="6"/>
      <c r="AA443" s="6"/>
    </row>
    <row r="444" spans="1:27" ht="14.25">
      <c r="A444" s="6"/>
      <c r="B444" s="6"/>
      <c r="C444" s="6"/>
      <c r="D444" s="6"/>
      <c r="E444" s="6"/>
      <c r="F444" s="6"/>
      <c r="G444" s="6"/>
      <c r="H444" s="6"/>
      <c r="I444" s="6"/>
      <c r="J444" s="6"/>
      <c r="K444" s="6"/>
      <c r="L444" s="6"/>
      <c r="M444" s="6"/>
      <c r="N444" s="6"/>
      <c r="O444" s="6"/>
      <c r="P444" s="6"/>
      <c r="Q444" s="6"/>
      <c r="R444" s="6"/>
      <c r="S444" s="6"/>
      <c r="T444" s="6"/>
      <c r="U444" s="6"/>
      <c r="V444" s="6"/>
      <c r="W444" s="6"/>
      <c r="X444" s="6"/>
      <c r="Y444" s="6"/>
      <c r="Z444" s="6"/>
      <c r="AA444" s="6"/>
    </row>
    <row r="445" spans="1:27" ht="14.25">
      <c r="A445" s="6"/>
      <c r="B445" s="6"/>
      <c r="C445" s="6"/>
      <c r="D445" s="6"/>
      <c r="E445" s="6"/>
      <c r="F445" s="6"/>
      <c r="G445" s="6"/>
      <c r="H445" s="6"/>
      <c r="I445" s="6"/>
      <c r="J445" s="6"/>
      <c r="K445" s="6"/>
      <c r="L445" s="6"/>
      <c r="M445" s="6"/>
      <c r="N445" s="6"/>
      <c r="O445" s="6"/>
      <c r="P445" s="6"/>
      <c r="Q445" s="6"/>
      <c r="R445" s="6"/>
      <c r="S445" s="6"/>
      <c r="T445" s="6"/>
      <c r="U445" s="6"/>
      <c r="V445" s="6"/>
      <c r="W445" s="6"/>
      <c r="X445" s="6"/>
      <c r="Y445" s="6"/>
      <c r="Z445" s="6"/>
      <c r="AA445" s="6"/>
    </row>
    <row r="446" spans="1:27" ht="14.25">
      <c r="A446" s="6"/>
      <c r="B446" s="6"/>
      <c r="C446" s="6"/>
      <c r="D446" s="6"/>
      <c r="E446" s="6"/>
      <c r="F446" s="6"/>
      <c r="G446" s="6"/>
      <c r="H446" s="6"/>
      <c r="I446" s="6"/>
      <c r="J446" s="6"/>
      <c r="K446" s="6"/>
      <c r="L446" s="6"/>
      <c r="M446" s="6"/>
      <c r="N446" s="6"/>
      <c r="O446" s="6"/>
      <c r="P446" s="6"/>
      <c r="Q446" s="6"/>
      <c r="R446" s="6"/>
      <c r="S446" s="6"/>
      <c r="T446" s="6"/>
      <c r="U446" s="6"/>
      <c r="V446" s="6"/>
      <c r="W446" s="6"/>
      <c r="X446" s="6"/>
      <c r="Y446" s="6"/>
      <c r="Z446" s="6"/>
      <c r="AA446" s="6"/>
    </row>
    <row r="447" spans="1:27" ht="14.25">
      <c r="A447" s="6"/>
      <c r="B447" s="6"/>
      <c r="C447" s="6"/>
      <c r="D447" s="6"/>
      <c r="E447" s="6"/>
      <c r="F447" s="6"/>
      <c r="G447" s="6"/>
      <c r="H447" s="6"/>
      <c r="I447" s="6"/>
      <c r="J447" s="6"/>
      <c r="K447" s="6"/>
      <c r="L447" s="6"/>
      <c r="M447" s="6"/>
      <c r="N447" s="6"/>
      <c r="O447" s="6"/>
      <c r="P447" s="6"/>
      <c r="Q447" s="6"/>
      <c r="R447" s="6"/>
      <c r="S447" s="6"/>
      <c r="T447" s="6"/>
      <c r="U447" s="6"/>
      <c r="V447" s="6"/>
      <c r="W447" s="6"/>
      <c r="X447" s="6"/>
      <c r="Y447" s="6"/>
      <c r="Z447" s="6"/>
      <c r="AA447" s="6"/>
    </row>
    <row r="448" spans="1:27" ht="14.25">
      <c r="A448" s="6"/>
      <c r="B448" s="6"/>
      <c r="C448" s="6"/>
      <c r="D448" s="6"/>
      <c r="E448" s="6"/>
      <c r="F448" s="6"/>
      <c r="G448" s="6"/>
      <c r="H448" s="6"/>
      <c r="I448" s="6"/>
      <c r="J448" s="6"/>
      <c r="K448" s="6"/>
      <c r="L448" s="6"/>
      <c r="M448" s="6"/>
      <c r="N448" s="6"/>
      <c r="O448" s="6"/>
      <c r="P448" s="6"/>
      <c r="Q448" s="6"/>
      <c r="R448" s="6"/>
      <c r="S448" s="6"/>
      <c r="T448" s="6"/>
      <c r="U448" s="6"/>
      <c r="V448" s="6"/>
      <c r="W448" s="6"/>
      <c r="X448" s="6"/>
      <c r="Y448" s="6"/>
      <c r="Z448" s="6"/>
      <c r="AA448" s="6"/>
    </row>
    <row r="449" spans="1:27" ht="14.25">
      <c r="A449" s="6"/>
      <c r="B449" s="6"/>
      <c r="C449" s="6"/>
      <c r="D449" s="6"/>
      <c r="E449" s="6"/>
      <c r="F449" s="6"/>
      <c r="G449" s="6"/>
      <c r="H449" s="6"/>
      <c r="I449" s="6"/>
      <c r="J449" s="6"/>
      <c r="K449" s="6"/>
      <c r="L449" s="6"/>
      <c r="M449" s="6"/>
      <c r="N449" s="6"/>
      <c r="O449" s="6"/>
      <c r="P449" s="6"/>
      <c r="Q449" s="6"/>
      <c r="R449" s="6"/>
      <c r="S449" s="6"/>
      <c r="T449" s="6"/>
      <c r="U449" s="6"/>
      <c r="V449" s="6"/>
      <c r="W449" s="6"/>
      <c r="X449" s="6"/>
      <c r="Y449" s="6"/>
      <c r="Z449" s="6"/>
      <c r="AA449" s="6"/>
    </row>
    <row r="450" spans="1:27" ht="14.25">
      <c r="A450" s="6"/>
      <c r="B450" s="6"/>
      <c r="C450" s="6"/>
      <c r="D450" s="6"/>
      <c r="E450" s="6"/>
      <c r="F450" s="6"/>
      <c r="G450" s="6"/>
      <c r="H450" s="6"/>
      <c r="I450" s="6"/>
      <c r="J450" s="6"/>
      <c r="K450" s="6"/>
      <c r="L450" s="6"/>
      <c r="M450" s="6"/>
      <c r="N450" s="6"/>
      <c r="O450" s="6"/>
      <c r="P450" s="6"/>
      <c r="Q450" s="6"/>
      <c r="R450" s="6"/>
      <c r="S450" s="6"/>
      <c r="T450" s="6"/>
      <c r="U450" s="6"/>
      <c r="V450" s="6"/>
      <c r="W450" s="6"/>
      <c r="X450" s="6"/>
      <c r="Y450" s="6"/>
      <c r="Z450" s="6"/>
      <c r="AA450" s="6"/>
    </row>
    <row r="451" spans="1:27" ht="14.25">
      <c r="A451" s="6"/>
      <c r="B451" s="6"/>
      <c r="C451" s="6"/>
      <c r="D451" s="6"/>
      <c r="E451" s="6"/>
      <c r="F451" s="6"/>
      <c r="G451" s="6"/>
      <c r="H451" s="6"/>
      <c r="I451" s="6"/>
      <c r="J451" s="6"/>
      <c r="K451" s="6"/>
      <c r="L451" s="6"/>
      <c r="M451" s="6"/>
      <c r="N451" s="6"/>
      <c r="O451" s="6"/>
      <c r="P451" s="6"/>
      <c r="Q451" s="6"/>
      <c r="R451" s="6"/>
      <c r="S451" s="6"/>
      <c r="T451" s="6"/>
      <c r="U451" s="6"/>
      <c r="V451" s="6"/>
      <c r="W451" s="6"/>
      <c r="X451" s="6"/>
      <c r="Y451" s="6"/>
      <c r="Z451" s="6"/>
      <c r="AA451" s="6"/>
    </row>
    <row r="452" spans="1:27" ht="14.25">
      <c r="A452" s="6"/>
      <c r="B452" s="6"/>
      <c r="C452" s="6"/>
      <c r="D452" s="6"/>
      <c r="E452" s="6"/>
      <c r="F452" s="6"/>
      <c r="G452" s="6"/>
      <c r="H452" s="6"/>
      <c r="I452" s="6"/>
      <c r="J452" s="6"/>
      <c r="K452" s="6"/>
      <c r="L452" s="6"/>
      <c r="M452" s="6"/>
      <c r="N452" s="6"/>
      <c r="O452" s="6"/>
      <c r="P452" s="6"/>
      <c r="Q452" s="6"/>
      <c r="R452" s="6"/>
      <c r="S452" s="6"/>
      <c r="T452" s="6"/>
      <c r="U452" s="6"/>
      <c r="V452" s="6"/>
      <c r="W452" s="6"/>
      <c r="X452" s="6"/>
      <c r="Y452" s="6"/>
      <c r="Z452" s="6"/>
      <c r="AA452" s="6"/>
    </row>
    <row r="453" spans="1:27" ht="14.25">
      <c r="A453" s="6"/>
      <c r="B453" s="6"/>
      <c r="C453" s="6"/>
      <c r="D453" s="6"/>
      <c r="E453" s="6"/>
      <c r="F453" s="6"/>
      <c r="G453" s="6"/>
      <c r="H453" s="6"/>
      <c r="I453" s="6"/>
      <c r="J453" s="6"/>
      <c r="K453" s="6"/>
      <c r="L453" s="6"/>
      <c r="M453" s="6"/>
      <c r="N453" s="6"/>
      <c r="O453" s="6"/>
      <c r="P453" s="6"/>
      <c r="Q453" s="6"/>
      <c r="R453" s="6"/>
      <c r="S453" s="6"/>
      <c r="T453" s="6"/>
      <c r="U453" s="6"/>
      <c r="V453" s="6"/>
      <c r="W453" s="6"/>
      <c r="X453" s="6"/>
      <c r="Y453" s="6"/>
      <c r="Z453" s="6"/>
      <c r="AA453" s="6"/>
    </row>
    <row r="454" spans="1:27" ht="14.25">
      <c r="A454" s="6"/>
      <c r="B454" s="6"/>
      <c r="C454" s="6"/>
      <c r="D454" s="6"/>
      <c r="E454" s="6"/>
      <c r="F454" s="6"/>
      <c r="G454" s="6"/>
      <c r="H454" s="6"/>
      <c r="I454" s="6"/>
      <c r="J454" s="6"/>
      <c r="K454" s="6"/>
      <c r="L454" s="6"/>
      <c r="M454" s="6"/>
      <c r="N454" s="6"/>
      <c r="O454" s="6"/>
      <c r="P454" s="6"/>
      <c r="Q454" s="6"/>
      <c r="R454" s="6"/>
      <c r="S454" s="6"/>
      <c r="T454" s="6"/>
      <c r="U454" s="6"/>
      <c r="V454" s="6"/>
      <c r="W454" s="6"/>
      <c r="X454" s="6"/>
      <c r="Y454" s="6"/>
      <c r="Z454" s="6"/>
      <c r="AA454" s="6"/>
    </row>
    <row r="455" spans="1:27" ht="14.25">
      <c r="A455" s="6"/>
      <c r="B455" s="6"/>
      <c r="C455" s="6"/>
      <c r="D455" s="6"/>
      <c r="E455" s="6"/>
      <c r="F455" s="6"/>
      <c r="G455" s="6"/>
      <c r="H455" s="6"/>
      <c r="I455" s="6"/>
      <c r="J455" s="6"/>
      <c r="K455" s="6"/>
      <c r="L455" s="6"/>
      <c r="M455" s="6"/>
      <c r="N455" s="6"/>
      <c r="O455" s="6"/>
      <c r="P455" s="6"/>
      <c r="Q455" s="6"/>
      <c r="R455" s="6"/>
      <c r="S455" s="6"/>
      <c r="T455" s="6"/>
      <c r="U455" s="6"/>
      <c r="V455" s="6"/>
      <c r="W455" s="6"/>
      <c r="X455" s="6"/>
      <c r="Y455" s="6"/>
      <c r="Z455" s="6"/>
      <c r="AA455" s="6"/>
    </row>
    <row r="456" spans="1:27" ht="14.25">
      <c r="A456" s="6"/>
      <c r="B456" s="6"/>
      <c r="C456" s="6"/>
      <c r="D456" s="6"/>
      <c r="E456" s="6"/>
      <c r="F456" s="6"/>
      <c r="G456" s="6"/>
      <c r="H456" s="6"/>
      <c r="I456" s="6"/>
      <c r="J456" s="6"/>
      <c r="K456" s="6"/>
      <c r="L456" s="6"/>
      <c r="M456" s="6"/>
      <c r="N456" s="6"/>
      <c r="O456" s="6"/>
      <c r="P456" s="6"/>
      <c r="Q456" s="6"/>
      <c r="R456" s="6"/>
      <c r="S456" s="6"/>
      <c r="T456" s="6"/>
      <c r="U456" s="6"/>
      <c r="V456" s="6"/>
      <c r="W456" s="6"/>
      <c r="X456" s="6"/>
      <c r="Y456" s="6"/>
      <c r="Z456" s="6"/>
      <c r="AA456" s="6"/>
    </row>
    <row r="457" spans="1:27" ht="14.25">
      <c r="A457" s="6"/>
      <c r="B457" s="6"/>
      <c r="C457" s="6"/>
      <c r="D457" s="6"/>
      <c r="E457" s="6"/>
      <c r="F457" s="6"/>
      <c r="G457" s="6"/>
      <c r="H457" s="6"/>
      <c r="I457" s="6"/>
      <c r="J457" s="6"/>
      <c r="K457" s="6"/>
      <c r="L457" s="6"/>
      <c r="M457" s="6"/>
      <c r="N457" s="6"/>
      <c r="O457" s="6"/>
      <c r="P457" s="6"/>
      <c r="Q457" s="6"/>
      <c r="R457" s="6"/>
      <c r="S457" s="6"/>
      <c r="T457" s="6"/>
      <c r="U457" s="6"/>
      <c r="V457" s="6"/>
      <c r="W457" s="6"/>
      <c r="X457" s="6"/>
      <c r="Y457" s="6"/>
      <c r="Z457" s="6"/>
      <c r="AA457" s="6"/>
    </row>
    <row r="458" spans="1:27" ht="14.25">
      <c r="A458" s="6"/>
      <c r="B458" s="6"/>
      <c r="C458" s="6"/>
      <c r="D458" s="6"/>
      <c r="E458" s="6"/>
      <c r="F458" s="6"/>
      <c r="G458" s="6"/>
      <c r="H458" s="6"/>
      <c r="I458" s="6"/>
      <c r="J458" s="6"/>
      <c r="K458" s="6"/>
      <c r="L458" s="6"/>
      <c r="M458" s="6"/>
      <c r="N458" s="6"/>
      <c r="O458" s="6"/>
      <c r="P458" s="6"/>
      <c r="Q458" s="6"/>
      <c r="R458" s="6"/>
      <c r="S458" s="6"/>
      <c r="T458" s="6"/>
      <c r="U458" s="6"/>
      <c r="V458" s="6"/>
      <c r="W458" s="6"/>
      <c r="X458" s="6"/>
      <c r="Y458" s="6"/>
      <c r="Z458" s="6"/>
      <c r="AA458" s="6"/>
    </row>
    <row r="459" spans="1:27" ht="14.25">
      <c r="A459" s="6"/>
      <c r="B459" s="6"/>
      <c r="C459" s="6"/>
      <c r="D459" s="6"/>
      <c r="E459" s="6"/>
      <c r="F459" s="6"/>
      <c r="G459" s="6"/>
      <c r="H459" s="6"/>
      <c r="I459" s="6"/>
      <c r="J459" s="6"/>
      <c r="K459" s="6"/>
      <c r="L459" s="6"/>
      <c r="M459" s="6"/>
      <c r="N459" s="6"/>
      <c r="O459" s="6"/>
      <c r="P459" s="6"/>
      <c r="Q459" s="6"/>
      <c r="R459" s="6"/>
      <c r="S459" s="6"/>
      <c r="T459" s="6"/>
      <c r="U459" s="6"/>
      <c r="V459" s="6"/>
      <c r="W459" s="6"/>
      <c r="X459" s="6"/>
      <c r="Y459" s="6"/>
      <c r="Z459" s="6"/>
      <c r="AA459" s="6"/>
    </row>
    <row r="460" spans="1:27" ht="14.25">
      <c r="A460" s="6"/>
      <c r="B460" s="6"/>
      <c r="C460" s="6"/>
      <c r="D460" s="6"/>
      <c r="E460" s="6"/>
      <c r="F460" s="6"/>
      <c r="G460" s="6"/>
      <c r="H460" s="6"/>
      <c r="I460" s="6"/>
      <c r="J460" s="6"/>
      <c r="K460" s="6"/>
      <c r="L460" s="6"/>
      <c r="M460" s="6"/>
      <c r="N460" s="6"/>
      <c r="O460" s="6"/>
      <c r="P460" s="6"/>
      <c r="Q460" s="6"/>
      <c r="R460" s="6"/>
      <c r="S460" s="6"/>
      <c r="T460" s="6"/>
      <c r="U460" s="6"/>
      <c r="V460" s="6"/>
      <c r="W460" s="6"/>
      <c r="X460" s="6"/>
      <c r="Y460" s="6"/>
      <c r="Z460" s="6"/>
      <c r="AA460" s="6"/>
    </row>
    <row r="461" spans="1:27" ht="14.25">
      <c r="A461" s="6"/>
      <c r="B461" s="6"/>
      <c r="C461" s="6"/>
      <c r="D461" s="6"/>
      <c r="E461" s="6"/>
      <c r="F461" s="6"/>
      <c r="G461" s="6"/>
      <c r="H461" s="6"/>
      <c r="I461" s="6"/>
      <c r="J461" s="6"/>
      <c r="K461" s="6"/>
      <c r="L461" s="6"/>
      <c r="M461" s="6"/>
      <c r="N461" s="6"/>
      <c r="O461" s="6"/>
      <c r="P461" s="6"/>
      <c r="Q461" s="6"/>
      <c r="R461" s="6"/>
      <c r="S461" s="6"/>
      <c r="T461" s="6"/>
      <c r="U461" s="6"/>
      <c r="V461" s="6"/>
      <c r="W461" s="6"/>
      <c r="X461" s="6"/>
      <c r="Y461" s="6"/>
      <c r="Z461" s="6"/>
      <c r="AA461" s="6"/>
    </row>
    <row r="462" spans="1:27" ht="14.25">
      <c r="A462" s="6"/>
      <c r="B462" s="6"/>
      <c r="C462" s="6"/>
      <c r="D462" s="6"/>
      <c r="E462" s="6"/>
      <c r="F462" s="6"/>
      <c r="G462" s="6"/>
      <c r="H462" s="6"/>
      <c r="I462" s="6"/>
      <c r="J462" s="6"/>
      <c r="K462" s="6"/>
      <c r="L462" s="6"/>
      <c r="M462" s="6"/>
      <c r="N462" s="6"/>
      <c r="O462" s="6"/>
      <c r="P462" s="6"/>
      <c r="Q462" s="6"/>
      <c r="R462" s="6"/>
      <c r="S462" s="6"/>
      <c r="T462" s="6"/>
      <c r="U462" s="6"/>
      <c r="V462" s="6"/>
      <c r="W462" s="6"/>
      <c r="X462" s="6"/>
      <c r="Y462" s="6"/>
      <c r="Z462" s="6"/>
      <c r="AA462" s="6"/>
    </row>
    <row r="463" spans="1:27" ht="14.25">
      <c r="A463" s="6"/>
      <c r="B463" s="6"/>
      <c r="C463" s="6"/>
      <c r="D463" s="6"/>
      <c r="E463" s="6"/>
      <c r="F463" s="6"/>
      <c r="G463" s="6"/>
      <c r="H463" s="6"/>
      <c r="I463" s="6"/>
      <c r="J463" s="6"/>
      <c r="K463" s="6"/>
      <c r="L463" s="6"/>
      <c r="M463" s="6"/>
      <c r="N463" s="6"/>
      <c r="O463" s="6"/>
      <c r="P463" s="6"/>
      <c r="Q463" s="6"/>
      <c r="R463" s="6"/>
      <c r="S463" s="6"/>
      <c r="T463" s="6"/>
      <c r="U463" s="6"/>
      <c r="V463" s="6"/>
      <c r="W463" s="6"/>
      <c r="X463" s="6"/>
      <c r="Y463" s="6"/>
      <c r="Z463" s="6"/>
      <c r="AA463" s="6"/>
    </row>
    <row r="464" spans="1:27" ht="14.25">
      <c r="A464" s="6"/>
      <c r="B464" s="6"/>
      <c r="C464" s="6"/>
      <c r="D464" s="6"/>
      <c r="E464" s="6"/>
      <c r="F464" s="6"/>
      <c r="G464" s="6"/>
      <c r="H464" s="6"/>
      <c r="I464" s="6"/>
      <c r="J464" s="6"/>
      <c r="K464" s="6"/>
      <c r="L464" s="6"/>
      <c r="M464" s="6"/>
      <c r="N464" s="6"/>
      <c r="O464" s="6"/>
      <c r="P464" s="6"/>
      <c r="Q464" s="6"/>
      <c r="R464" s="6"/>
      <c r="S464" s="6"/>
      <c r="T464" s="6"/>
      <c r="U464" s="6"/>
      <c r="V464" s="6"/>
      <c r="W464" s="6"/>
      <c r="X464" s="6"/>
      <c r="Y464" s="6"/>
      <c r="Z464" s="6"/>
      <c r="AA464" s="6"/>
    </row>
    <row r="465" spans="1:27" ht="14.25">
      <c r="A465" s="6"/>
      <c r="B465" s="6"/>
      <c r="C465" s="6"/>
      <c r="D465" s="6"/>
      <c r="E465" s="6"/>
      <c r="F465" s="6"/>
      <c r="G465" s="6"/>
      <c r="H465" s="6"/>
      <c r="I465" s="6"/>
      <c r="J465" s="6"/>
      <c r="K465" s="6"/>
      <c r="L465" s="6"/>
      <c r="M465" s="6"/>
      <c r="N465" s="6"/>
      <c r="O465" s="6"/>
      <c r="P465" s="6"/>
      <c r="Q465" s="6"/>
      <c r="R465" s="6"/>
      <c r="S465" s="6"/>
      <c r="T465" s="6"/>
      <c r="U465" s="6"/>
      <c r="V465" s="6"/>
      <c r="W465" s="6"/>
      <c r="X465" s="6"/>
      <c r="Y465" s="6"/>
      <c r="Z465" s="6"/>
      <c r="AA465" s="6"/>
    </row>
    <row r="466" spans="1:27" ht="14.25">
      <c r="A466" s="6"/>
      <c r="B466" s="6"/>
      <c r="C466" s="6"/>
      <c r="D466" s="6"/>
      <c r="E466" s="6"/>
      <c r="F466" s="6"/>
      <c r="G466" s="6"/>
      <c r="H466" s="6"/>
      <c r="I466" s="6"/>
      <c r="J466" s="6"/>
      <c r="K466" s="6"/>
      <c r="L466" s="6"/>
      <c r="M466" s="6"/>
      <c r="N466" s="6"/>
      <c r="O466" s="6"/>
      <c r="P466" s="6"/>
      <c r="Q466" s="6"/>
      <c r="R466" s="6"/>
      <c r="S466" s="6"/>
      <c r="T466" s="6"/>
      <c r="U466" s="6"/>
      <c r="V466" s="6"/>
      <c r="W466" s="6"/>
      <c r="X466" s="6"/>
      <c r="Y466" s="6"/>
      <c r="Z466" s="6"/>
      <c r="AA466" s="6"/>
    </row>
    <row r="467" spans="1:27" ht="14.25">
      <c r="A467" s="6"/>
      <c r="B467" s="6"/>
      <c r="C467" s="6"/>
      <c r="D467" s="6"/>
      <c r="E467" s="6"/>
      <c r="F467" s="6"/>
      <c r="G467" s="6"/>
      <c r="H467" s="6"/>
      <c r="I467" s="6"/>
      <c r="J467" s="6"/>
      <c r="K467" s="6"/>
      <c r="L467" s="6"/>
      <c r="M467" s="6"/>
      <c r="N467" s="6"/>
      <c r="O467" s="6"/>
      <c r="P467" s="6"/>
      <c r="Q467" s="6"/>
      <c r="R467" s="6"/>
      <c r="S467" s="6"/>
      <c r="T467" s="6"/>
      <c r="U467" s="6"/>
      <c r="V467" s="6"/>
      <c r="W467" s="6"/>
      <c r="X467" s="6"/>
      <c r="Y467" s="6"/>
      <c r="Z467" s="6"/>
      <c r="AA467" s="6"/>
    </row>
    <row r="468" spans="1:27" ht="14.25">
      <c r="A468" s="6"/>
      <c r="B468" s="6"/>
      <c r="C468" s="6"/>
      <c r="D468" s="6"/>
      <c r="E468" s="6"/>
      <c r="F468" s="6"/>
      <c r="G468" s="6"/>
      <c r="H468" s="6"/>
      <c r="I468" s="6"/>
      <c r="J468" s="6"/>
      <c r="K468" s="6"/>
      <c r="L468" s="6"/>
      <c r="M468" s="6"/>
      <c r="N468" s="6"/>
      <c r="O468" s="6"/>
      <c r="P468" s="6"/>
      <c r="Q468" s="6"/>
      <c r="R468" s="6"/>
      <c r="S468" s="6"/>
      <c r="T468" s="6"/>
      <c r="U468" s="6"/>
      <c r="V468" s="6"/>
      <c r="W468" s="6"/>
      <c r="X468" s="6"/>
      <c r="Y468" s="6"/>
      <c r="Z468" s="6"/>
      <c r="AA468" s="6"/>
    </row>
    <row r="469" spans="1:27" ht="14.25">
      <c r="A469" s="6"/>
      <c r="B469" s="6"/>
      <c r="C469" s="6"/>
      <c r="D469" s="6"/>
      <c r="E469" s="6"/>
      <c r="F469" s="6"/>
      <c r="G469" s="6"/>
      <c r="H469" s="6"/>
      <c r="I469" s="6"/>
      <c r="J469" s="6"/>
      <c r="K469" s="6"/>
      <c r="L469" s="6"/>
      <c r="M469" s="6"/>
      <c r="N469" s="6"/>
      <c r="O469" s="6"/>
      <c r="P469" s="6"/>
      <c r="Q469" s="6"/>
      <c r="R469" s="6"/>
      <c r="S469" s="6"/>
      <c r="T469" s="6"/>
      <c r="U469" s="6"/>
      <c r="V469" s="6"/>
      <c r="W469" s="6"/>
      <c r="X469" s="6"/>
      <c r="Y469" s="6"/>
      <c r="Z469" s="6"/>
      <c r="AA469" s="6"/>
    </row>
    <row r="470" spans="1:27" ht="14.25">
      <c r="A470" s="6"/>
      <c r="B470" s="6"/>
      <c r="C470" s="6"/>
      <c r="D470" s="6"/>
      <c r="E470" s="6"/>
      <c r="F470" s="6"/>
      <c r="G470" s="6"/>
      <c r="H470" s="6"/>
      <c r="I470" s="6"/>
      <c r="J470" s="6"/>
      <c r="K470" s="6"/>
      <c r="L470" s="6"/>
      <c r="M470" s="6"/>
      <c r="N470" s="6"/>
      <c r="O470" s="6"/>
      <c r="P470" s="6"/>
      <c r="Q470" s="6"/>
      <c r="R470" s="6"/>
      <c r="S470" s="6"/>
      <c r="T470" s="6"/>
      <c r="U470" s="6"/>
      <c r="V470" s="6"/>
      <c r="W470" s="6"/>
      <c r="X470" s="6"/>
      <c r="Y470" s="6"/>
      <c r="Z470" s="6"/>
      <c r="AA470" s="6"/>
    </row>
    <row r="471" spans="1:27" ht="14.25">
      <c r="A471" s="6"/>
      <c r="B471" s="6"/>
      <c r="C471" s="6"/>
      <c r="D471" s="6"/>
      <c r="E471" s="6"/>
      <c r="F471" s="6"/>
      <c r="G471" s="6"/>
      <c r="H471" s="6"/>
      <c r="I471" s="6"/>
      <c r="J471" s="6"/>
      <c r="K471" s="6"/>
      <c r="L471" s="6"/>
      <c r="M471" s="6"/>
      <c r="N471" s="6"/>
      <c r="O471" s="6"/>
      <c r="P471" s="6"/>
      <c r="Q471" s="6"/>
      <c r="R471" s="6"/>
      <c r="S471" s="6"/>
      <c r="T471" s="6"/>
      <c r="U471" s="6"/>
      <c r="V471" s="6"/>
      <c r="W471" s="6"/>
      <c r="X471" s="6"/>
      <c r="Y471" s="6"/>
      <c r="Z471" s="6"/>
      <c r="AA471" s="6"/>
    </row>
    <row r="472" spans="1:27" ht="14.25">
      <c r="A472" s="6"/>
      <c r="B472" s="6"/>
      <c r="C472" s="6"/>
      <c r="D472" s="6"/>
      <c r="E472" s="6"/>
      <c r="F472" s="6"/>
      <c r="G472" s="6"/>
      <c r="H472" s="6"/>
      <c r="I472" s="6"/>
      <c r="J472" s="6"/>
      <c r="K472" s="6"/>
      <c r="L472" s="6"/>
      <c r="M472" s="6"/>
      <c r="N472" s="6"/>
      <c r="O472" s="6"/>
      <c r="P472" s="6"/>
      <c r="Q472" s="6"/>
      <c r="R472" s="6"/>
      <c r="S472" s="6"/>
      <c r="T472" s="6"/>
      <c r="U472" s="6"/>
      <c r="V472" s="6"/>
      <c r="W472" s="6"/>
      <c r="X472" s="6"/>
      <c r="Y472" s="6"/>
      <c r="Z472" s="6"/>
      <c r="AA472" s="6"/>
    </row>
    <row r="473" spans="1:27" ht="14.25">
      <c r="A473" s="6"/>
      <c r="B473" s="6"/>
      <c r="C473" s="6"/>
      <c r="D473" s="6"/>
      <c r="E473" s="6"/>
      <c r="F473" s="6"/>
      <c r="G473" s="6"/>
      <c r="H473" s="6"/>
      <c r="I473" s="6"/>
      <c r="J473" s="6"/>
      <c r="K473" s="6"/>
      <c r="L473" s="6"/>
      <c r="M473" s="6"/>
      <c r="N473" s="6"/>
      <c r="O473" s="6"/>
      <c r="P473" s="6"/>
      <c r="Q473" s="6"/>
      <c r="R473" s="6"/>
      <c r="S473" s="6"/>
      <c r="T473" s="6"/>
      <c r="U473" s="6"/>
      <c r="V473" s="6"/>
      <c r="W473" s="6"/>
      <c r="X473" s="6"/>
      <c r="Y473" s="6"/>
      <c r="Z473" s="6"/>
      <c r="AA473" s="6"/>
    </row>
    <row r="474" spans="1:27" ht="14.25">
      <c r="A474" s="6"/>
      <c r="B474" s="6"/>
      <c r="C474" s="6"/>
      <c r="D474" s="6"/>
      <c r="E474" s="6"/>
      <c r="F474" s="6"/>
      <c r="G474" s="6"/>
      <c r="H474" s="6"/>
      <c r="I474" s="6"/>
      <c r="J474" s="6"/>
      <c r="K474" s="6"/>
      <c r="L474" s="6"/>
      <c r="M474" s="6"/>
      <c r="N474" s="6"/>
      <c r="O474" s="6"/>
      <c r="P474" s="6"/>
      <c r="Q474" s="6"/>
      <c r="R474" s="6"/>
      <c r="S474" s="6"/>
      <c r="T474" s="6"/>
      <c r="U474" s="6"/>
      <c r="V474" s="6"/>
      <c r="W474" s="6"/>
      <c r="X474" s="6"/>
      <c r="Y474" s="6"/>
      <c r="Z474" s="6"/>
      <c r="AA474" s="6"/>
    </row>
    <row r="475" spans="1:27" ht="14.25">
      <c r="A475" s="6"/>
      <c r="B475" s="6"/>
      <c r="C475" s="6"/>
      <c r="D475" s="6"/>
      <c r="E475" s="6"/>
      <c r="F475" s="6"/>
      <c r="G475" s="6"/>
      <c r="H475" s="6"/>
      <c r="I475" s="6"/>
      <c r="J475" s="6"/>
      <c r="K475" s="6"/>
      <c r="L475" s="6"/>
      <c r="M475" s="6"/>
      <c r="N475" s="6"/>
      <c r="O475" s="6"/>
      <c r="P475" s="6"/>
      <c r="Q475" s="6"/>
      <c r="R475" s="6"/>
      <c r="S475" s="6"/>
      <c r="T475" s="6"/>
      <c r="U475" s="6"/>
      <c r="V475" s="6"/>
      <c r="W475" s="6"/>
      <c r="X475" s="6"/>
      <c r="Y475" s="6"/>
      <c r="Z475" s="6"/>
      <c r="AA475" s="6"/>
    </row>
    <row r="476" spans="1:27" ht="14.25">
      <c r="A476" s="6"/>
      <c r="B476" s="6"/>
      <c r="C476" s="6"/>
      <c r="D476" s="6"/>
      <c r="E476" s="6"/>
      <c r="F476" s="6"/>
      <c r="G476" s="6"/>
      <c r="H476" s="6"/>
      <c r="I476" s="6"/>
      <c r="J476" s="6"/>
      <c r="K476" s="6"/>
      <c r="L476" s="6"/>
      <c r="M476" s="6"/>
      <c r="N476" s="6"/>
      <c r="O476" s="6"/>
      <c r="P476" s="6"/>
      <c r="Q476" s="6"/>
      <c r="R476" s="6"/>
      <c r="S476" s="6"/>
      <c r="T476" s="6"/>
      <c r="U476" s="6"/>
      <c r="V476" s="6"/>
      <c r="W476" s="6"/>
      <c r="X476" s="6"/>
      <c r="Y476" s="6"/>
      <c r="Z476" s="6"/>
      <c r="AA476" s="6"/>
    </row>
    <row r="477" spans="1:27" ht="14.25">
      <c r="A477" s="6"/>
      <c r="B477" s="6"/>
      <c r="C477" s="6"/>
      <c r="D477" s="6"/>
      <c r="E477" s="6"/>
      <c r="F477" s="6"/>
      <c r="G477" s="6"/>
      <c r="H477" s="6"/>
      <c r="I477" s="6"/>
      <c r="J477" s="6"/>
      <c r="K477" s="6"/>
      <c r="L477" s="6"/>
      <c r="M477" s="6"/>
      <c r="N477" s="6"/>
      <c r="O477" s="6"/>
      <c r="P477" s="6"/>
      <c r="Q477" s="6"/>
      <c r="R477" s="6"/>
      <c r="S477" s="6"/>
      <c r="T477" s="6"/>
      <c r="U477" s="6"/>
      <c r="V477" s="6"/>
      <c r="W477" s="6"/>
      <c r="X477" s="6"/>
      <c r="Y477" s="6"/>
      <c r="Z477" s="6"/>
      <c r="AA477" s="6"/>
    </row>
    <row r="478" spans="1:27" ht="14.25">
      <c r="A478" s="6"/>
      <c r="B478" s="6"/>
      <c r="C478" s="6"/>
      <c r="D478" s="6"/>
      <c r="E478" s="6"/>
      <c r="F478" s="6"/>
      <c r="G478" s="6"/>
      <c r="H478" s="6"/>
      <c r="I478" s="6"/>
      <c r="J478" s="6"/>
      <c r="K478" s="6"/>
      <c r="L478" s="6"/>
      <c r="M478" s="6"/>
      <c r="N478" s="6"/>
      <c r="O478" s="6"/>
      <c r="P478" s="6"/>
      <c r="Q478" s="6"/>
      <c r="R478" s="6"/>
      <c r="S478" s="6"/>
      <c r="T478" s="6"/>
      <c r="U478" s="6"/>
      <c r="V478" s="6"/>
      <c r="W478" s="6"/>
      <c r="X478" s="6"/>
      <c r="Y478" s="6"/>
      <c r="Z478" s="6"/>
      <c r="AA478" s="6"/>
    </row>
    <row r="479" spans="1:27" ht="14.25">
      <c r="A479" s="6"/>
      <c r="B479" s="6"/>
      <c r="C479" s="6"/>
      <c r="D479" s="6"/>
      <c r="E479" s="6"/>
      <c r="F479" s="6"/>
      <c r="G479" s="6"/>
      <c r="H479" s="6"/>
      <c r="I479" s="6"/>
      <c r="J479" s="6"/>
      <c r="K479" s="6"/>
      <c r="L479" s="6"/>
      <c r="M479" s="6"/>
      <c r="N479" s="6"/>
      <c r="O479" s="6"/>
      <c r="P479" s="6"/>
      <c r="Q479" s="6"/>
      <c r="R479" s="6"/>
      <c r="S479" s="6"/>
      <c r="T479" s="6"/>
      <c r="U479" s="6"/>
      <c r="V479" s="6"/>
      <c r="W479" s="6"/>
      <c r="X479" s="6"/>
      <c r="Y479" s="6"/>
      <c r="Z479" s="6"/>
      <c r="AA479" s="6"/>
    </row>
    <row r="480" spans="1:27" ht="14.25">
      <c r="A480" s="6"/>
      <c r="B480" s="6"/>
      <c r="C480" s="6"/>
      <c r="D480" s="6"/>
      <c r="E480" s="6"/>
      <c r="F480" s="6"/>
      <c r="G480" s="6"/>
      <c r="H480" s="6"/>
      <c r="I480" s="6"/>
      <c r="J480" s="6"/>
      <c r="K480" s="6"/>
      <c r="L480" s="6"/>
      <c r="M480" s="6"/>
      <c r="N480" s="6"/>
      <c r="O480" s="6"/>
      <c r="P480" s="6"/>
      <c r="Q480" s="6"/>
      <c r="R480" s="6"/>
      <c r="S480" s="6"/>
      <c r="T480" s="6"/>
      <c r="U480" s="6"/>
      <c r="V480" s="6"/>
      <c r="W480" s="6"/>
      <c r="X480" s="6"/>
      <c r="Y480" s="6"/>
      <c r="Z480" s="6"/>
      <c r="AA480" s="6"/>
    </row>
    <row r="481" spans="1:27" ht="14.25">
      <c r="A481" s="6"/>
      <c r="B481" s="6"/>
      <c r="C481" s="6"/>
      <c r="D481" s="6"/>
      <c r="E481" s="6"/>
      <c r="F481" s="6"/>
      <c r="G481" s="6"/>
      <c r="H481" s="6"/>
      <c r="I481" s="6"/>
      <c r="J481" s="6"/>
      <c r="K481" s="6"/>
      <c r="L481" s="6"/>
      <c r="M481" s="6"/>
      <c r="N481" s="6"/>
      <c r="O481" s="6"/>
      <c r="P481" s="6"/>
      <c r="Q481" s="6"/>
      <c r="R481" s="6"/>
      <c r="S481" s="6"/>
      <c r="T481" s="6"/>
      <c r="U481" s="6"/>
      <c r="V481" s="6"/>
      <c r="W481" s="6"/>
      <c r="X481" s="6"/>
      <c r="Y481" s="6"/>
      <c r="Z481" s="6"/>
      <c r="AA481" s="6"/>
    </row>
    <row r="482" spans="1:27" ht="14.25">
      <c r="A482" s="6"/>
      <c r="B482" s="6"/>
      <c r="C482" s="6"/>
      <c r="D482" s="6"/>
      <c r="E482" s="6"/>
      <c r="F482" s="6"/>
      <c r="G482" s="6"/>
      <c r="H482" s="6"/>
      <c r="I482" s="6"/>
      <c r="J482" s="6"/>
      <c r="K482" s="6"/>
      <c r="L482" s="6"/>
      <c r="M482" s="6"/>
      <c r="N482" s="6"/>
      <c r="O482" s="6"/>
      <c r="P482" s="6"/>
      <c r="Q482" s="6"/>
      <c r="R482" s="6"/>
      <c r="S482" s="6"/>
      <c r="T482" s="6"/>
      <c r="U482" s="6"/>
      <c r="V482" s="6"/>
      <c r="W482" s="6"/>
      <c r="X482" s="6"/>
      <c r="Y482" s="6"/>
      <c r="Z482" s="6"/>
      <c r="AA482" s="6"/>
    </row>
    <row r="483" spans="1:27" ht="14.25">
      <c r="A483" s="6"/>
      <c r="B483" s="6"/>
      <c r="C483" s="6"/>
      <c r="D483" s="6"/>
      <c r="E483" s="6"/>
      <c r="F483" s="6"/>
      <c r="G483" s="6"/>
      <c r="H483" s="6"/>
      <c r="I483" s="6"/>
      <c r="J483" s="6"/>
      <c r="K483" s="6"/>
      <c r="L483" s="6"/>
      <c r="M483" s="6"/>
      <c r="N483" s="6"/>
      <c r="O483" s="6"/>
      <c r="P483" s="6"/>
      <c r="Q483" s="6"/>
      <c r="R483" s="6"/>
      <c r="S483" s="6"/>
      <c r="T483" s="6"/>
      <c r="U483" s="6"/>
      <c r="V483" s="6"/>
      <c r="W483" s="6"/>
      <c r="X483" s="6"/>
      <c r="Y483" s="6"/>
      <c r="Z483" s="6"/>
      <c r="AA483" s="6"/>
    </row>
    <row r="484" spans="1:27" ht="14.25">
      <c r="A484" s="6"/>
      <c r="B484" s="6"/>
      <c r="C484" s="6"/>
      <c r="D484" s="6"/>
      <c r="E484" s="6"/>
      <c r="F484" s="6"/>
      <c r="G484" s="6"/>
      <c r="H484" s="6"/>
      <c r="I484" s="6"/>
      <c r="J484" s="6"/>
      <c r="K484" s="6"/>
      <c r="L484" s="6"/>
      <c r="M484" s="6"/>
      <c r="N484" s="6"/>
      <c r="O484" s="6"/>
      <c r="P484" s="6"/>
      <c r="Q484" s="6"/>
      <c r="R484" s="6"/>
      <c r="S484" s="6"/>
      <c r="T484" s="6"/>
      <c r="U484" s="6"/>
      <c r="V484" s="6"/>
      <c r="W484" s="6"/>
      <c r="X484" s="6"/>
      <c r="Y484" s="6"/>
      <c r="Z484" s="6"/>
      <c r="AA484" s="6"/>
    </row>
    <row r="485" spans="1:27" ht="14.25">
      <c r="A485" s="6"/>
      <c r="B485" s="6"/>
      <c r="C485" s="6"/>
      <c r="D485" s="6"/>
      <c r="E485" s="6"/>
      <c r="F485" s="6"/>
      <c r="G485" s="6"/>
      <c r="H485" s="6"/>
      <c r="I485" s="6"/>
      <c r="J485" s="6"/>
      <c r="K485" s="6"/>
      <c r="L485" s="6"/>
      <c r="M485" s="6"/>
      <c r="N485" s="6"/>
      <c r="O485" s="6"/>
      <c r="P485" s="6"/>
      <c r="Q485" s="6"/>
      <c r="R485" s="6"/>
      <c r="S485" s="6"/>
      <c r="T485" s="6"/>
      <c r="U485" s="6"/>
      <c r="V485" s="6"/>
      <c r="W485" s="6"/>
      <c r="X485" s="6"/>
      <c r="Y485" s="6"/>
      <c r="Z485" s="6"/>
      <c r="AA485" s="6"/>
    </row>
    <row r="486" spans="1:27" ht="14.25">
      <c r="A486" s="6"/>
      <c r="B486" s="6"/>
      <c r="C486" s="6"/>
      <c r="D486" s="6"/>
      <c r="E486" s="6"/>
      <c r="F486" s="6"/>
      <c r="G486" s="6"/>
      <c r="H486" s="6"/>
      <c r="I486" s="6"/>
      <c r="J486" s="6"/>
      <c r="K486" s="6"/>
      <c r="L486" s="6"/>
      <c r="M486" s="6"/>
      <c r="N486" s="6"/>
      <c r="O486" s="6"/>
      <c r="P486" s="6"/>
      <c r="Q486" s="6"/>
      <c r="R486" s="6"/>
      <c r="S486" s="6"/>
      <c r="T486" s="6"/>
      <c r="U486" s="6"/>
      <c r="V486" s="6"/>
      <c r="W486" s="6"/>
      <c r="X486" s="6"/>
      <c r="Y486" s="6"/>
      <c r="Z486" s="6"/>
      <c r="AA486" s="6"/>
    </row>
    <row r="487" spans="1:27" ht="14.25">
      <c r="A487" s="6"/>
      <c r="B487" s="6"/>
      <c r="C487" s="6"/>
      <c r="D487" s="6"/>
      <c r="E487" s="6"/>
      <c r="F487" s="6"/>
      <c r="G487" s="6"/>
      <c r="H487" s="6"/>
      <c r="I487" s="6"/>
      <c r="J487" s="6"/>
      <c r="K487" s="6"/>
      <c r="L487" s="6"/>
      <c r="M487" s="6"/>
      <c r="N487" s="6"/>
      <c r="O487" s="6"/>
      <c r="P487" s="6"/>
      <c r="Q487" s="6"/>
      <c r="R487" s="6"/>
      <c r="S487" s="6"/>
      <c r="T487" s="6"/>
      <c r="U487" s="6"/>
      <c r="V487" s="6"/>
      <c r="W487" s="6"/>
      <c r="X487" s="6"/>
      <c r="Y487" s="6"/>
      <c r="Z487" s="6"/>
      <c r="AA487" s="6"/>
    </row>
    <row r="488" spans="1:27" ht="14.25">
      <c r="A488" s="6"/>
      <c r="B488" s="6"/>
      <c r="C488" s="6"/>
      <c r="D488" s="6"/>
      <c r="E488" s="6"/>
      <c r="F488" s="6"/>
      <c r="G488" s="6"/>
      <c r="H488" s="6"/>
      <c r="I488" s="6"/>
      <c r="J488" s="6"/>
      <c r="K488" s="6"/>
      <c r="L488" s="6"/>
      <c r="M488" s="6"/>
      <c r="N488" s="6"/>
      <c r="O488" s="6"/>
      <c r="P488" s="6"/>
      <c r="Q488" s="6"/>
      <c r="R488" s="6"/>
      <c r="S488" s="6"/>
      <c r="T488" s="6"/>
      <c r="U488" s="6"/>
      <c r="V488" s="6"/>
      <c r="W488" s="6"/>
      <c r="X488" s="6"/>
      <c r="Y488" s="6"/>
      <c r="Z488" s="6"/>
      <c r="AA488" s="6"/>
    </row>
    <row r="489" spans="1:27" ht="14.25">
      <c r="A489" s="6"/>
      <c r="B489" s="6"/>
      <c r="C489" s="6"/>
      <c r="D489" s="6"/>
      <c r="E489" s="6"/>
      <c r="F489" s="6"/>
      <c r="G489" s="6"/>
      <c r="H489" s="6"/>
      <c r="I489" s="6"/>
      <c r="J489" s="6"/>
      <c r="K489" s="6"/>
      <c r="L489" s="6"/>
      <c r="M489" s="6"/>
      <c r="N489" s="6"/>
      <c r="O489" s="6"/>
      <c r="P489" s="6"/>
      <c r="Q489" s="6"/>
      <c r="R489" s="6"/>
      <c r="S489" s="6"/>
      <c r="T489" s="6"/>
      <c r="U489" s="6"/>
      <c r="V489" s="6"/>
      <c r="W489" s="6"/>
      <c r="X489" s="6"/>
      <c r="Y489" s="6"/>
      <c r="Z489" s="6"/>
      <c r="AA489" s="6"/>
    </row>
    <row r="490" spans="1:27" ht="14.25">
      <c r="A490" s="6"/>
      <c r="B490" s="6"/>
      <c r="C490" s="6"/>
      <c r="D490" s="6"/>
      <c r="E490" s="6"/>
      <c r="F490" s="6"/>
      <c r="G490" s="6"/>
      <c r="H490" s="6"/>
      <c r="I490" s="6"/>
      <c r="J490" s="6"/>
      <c r="K490" s="6"/>
      <c r="L490" s="6"/>
      <c r="M490" s="6"/>
      <c r="N490" s="6"/>
      <c r="O490" s="6"/>
      <c r="P490" s="6"/>
      <c r="Q490" s="6"/>
      <c r="R490" s="6"/>
      <c r="S490" s="6"/>
      <c r="T490" s="6"/>
      <c r="U490" s="6"/>
      <c r="V490" s="6"/>
      <c r="W490" s="6"/>
      <c r="X490" s="6"/>
      <c r="Y490" s="6"/>
      <c r="Z490" s="6"/>
      <c r="AA490" s="6"/>
    </row>
    <row r="491" spans="1:27" ht="14.25">
      <c r="A491" s="6"/>
      <c r="B491" s="6"/>
      <c r="C491" s="6"/>
      <c r="D491" s="6"/>
      <c r="E491" s="6"/>
      <c r="F491" s="6"/>
      <c r="G491" s="6"/>
      <c r="H491" s="6"/>
      <c r="I491" s="6"/>
      <c r="J491" s="6"/>
      <c r="K491" s="6"/>
      <c r="L491" s="6"/>
      <c r="M491" s="6"/>
      <c r="N491" s="6"/>
      <c r="O491" s="6"/>
      <c r="P491" s="6"/>
      <c r="Q491" s="6"/>
      <c r="R491" s="6"/>
      <c r="S491" s="6"/>
      <c r="T491" s="6"/>
      <c r="U491" s="6"/>
      <c r="V491" s="6"/>
      <c r="W491" s="6"/>
      <c r="X491" s="6"/>
      <c r="Y491" s="6"/>
      <c r="Z491" s="6"/>
      <c r="AA491" s="6"/>
    </row>
    <row r="492" spans="1:27" ht="14.25">
      <c r="A492" s="6"/>
      <c r="B492" s="6"/>
      <c r="C492" s="6"/>
      <c r="D492" s="6"/>
      <c r="E492" s="6"/>
      <c r="F492" s="6"/>
      <c r="G492" s="6"/>
      <c r="H492" s="6"/>
      <c r="I492" s="6"/>
      <c r="J492" s="6"/>
      <c r="K492" s="6"/>
      <c r="L492" s="6"/>
      <c r="M492" s="6"/>
      <c r="N492" s="6"/>
      <c r="O492" s="6"/>
      <c r="P492" s="6"/>
      <c r="Q492" s="6"/>
      <c r="R492" s="6"/>
      <c r="S492" s="6"/>
      <c r="T492" s="6"/>
      <c r="U492" s="6"/>
      <c r="V492" s="6"/>
      <c r="W492" s="6"/>
      <c r="X492" s="6"/>
      <c r="Y492" s="6"/>
      <c r="Z492" s="6"/>
      <c r="AA492" s="6"/>
    </row>
    <row r="493" spans="1:27" ht="14.25">
      <c r="A493" s="6"/>
      <c r="B493" s="6"/>
      <c r="C493" s="6"/>
      <c r="D493" s="6"/>
      <c r="E493" s="6"/>
      <c r="F493" s="6"/>
      <c r="G493" s="6"/>
      <c r="H493" s="6"/>
      <c r="I493" s="6"/>
      <c r="J493" s="6"/>
      <c r="K493" s="6"/>
      <c r="L493" s="6"/>
      <c r="M493" s="6"/>
      <c r="N493" s="6"/>
      <c r="O493" s="6"/>
      <c r="P493" s="6"/>
      <c r="Q493" s="6"/>
      <c r="R493" s="6"/>
      <c r="S493" s="6"/>
      <c r="T493" s="6"/>
      <c r="U493" s="6"/>
      <c r="V493" s="6"/>
      <c r="W493" s="6"/>
      <c r="X493" s="6"/>
      <c r="Y493" s="6"/>
      <c r="Z493" s="6"/>
      <c r="AA493" s="6"/>
    </row>
    <row r="494" spans="1:27" ht="14.25">
      <c r="A494" s="6"/>
      <c r="B494" s="6"/>
      <c r="C494" s="6"/>
      <c r="D494" s="6"/>
      <c r="E494" s="6"/>
      <c r="F494" s="6"/>
      <c r="G494" s="6"/>
      <c r="H494" s="6"/>
      <c r="I494" s="6"/>
      <c r="J494" s="6"/>
      <c r="K494" s="6"/>
      <c r="L494" s="6"/>
      <c r="M494" s="6"/>
      <c r="N494" s="6"/>
      <c r="O494" s="6"/>
      <c r="P494" s="6"/>
      <c r="Q494" s="6"/>
      <c r="R494" s="6"/>
      <c r="S494" s="6"/>
      <c r="T494" s="6"/>
      <c r="U494" s="6"/>
      <c r="V494" s="6"/>
      <c r="W494" s="6"/>
      <c r="X494" s="6"/>
      <c r="Y494" s="6"/>
      <c r="Z494" s="6"/>
      <c r="AA494" s="6"/>
    </row>
    <row r="495" spans="1:27" ht="14.25">
      <c r="A495" s="6"/>
      <c r="B495" s="6"/>
      <c r="C495" s="6"/>
      <c r="D495" s="6"/>
      <c r="E495" s="6"/>
      <c r="F495" s="6"/>
      <c r="G495" s="6"/>
      <c r="H495" s="6"/>
      <c r="I495" s="6"/>
      <c r="J495" s="6"/>
      <c r="K495" s="6"/>
      <c r="L495" s="6"/>
      <c r="M495" s="6"/>
      <c r="N495" s="6"/>
      <c r="O495" s="6"/>
      <c r="P495" s="6"/>
      <c r="Q495" s="6"/>
      <c r="R495" s="6"/>
      <c r="S495" s="6"/>
      <c r="T495" s="6"/>
      <c r="U495" s="6"/>
      <c r="V495" s="6"/>
      <c r="W495" s="6"/>
      <c r="X495" s="6"/>
      <c r="Y495" s="6"/>
      <c r="Z495" s="6"/>
      <c r="AA495" s="6"/>
    </row>
    <row r="496" spans="1:27" ht="14.25">
      <c r="A496" s="6"/>
      <c r="B496" s="6"/>
      <c r="C496" s="6"/>
      <c r="D496" s="6"/>
      <c r="E496" s="6"/>
      <c r="F496" s="6"/>
      <c r="G496" s="6"/>
      <c r="H496" s="6"/>
      <c r="I496" s="6"/>
      <c r="J496" s="6"/>
      <c r="K496" s="6"/>
      <c r="L496" s="6"/>
      <c r="M496" s="6"/>
      <c r="N496" s="6"/>
      <c r="O496" s="6"/>
      <c r="P496" s="6"/>
      <c r="Q496" s="6"/>
      <c r="R496" s="6"/>
      <c r="S496" s="6"/>
      <c r="T496" s="6"/>
      <c r="U496" s="6"/>
      <c r="V496" s="6"/>
      <c r="W496" s="6"/>
      <c r="X496" s="6"/>
      <c r="Y496" s="6"/>
      <c r="Z496" s="6"/>
      <c r="AA496" s="6"/>
    </row>
    <row r="497" spans="1:27" ht="14.25">
      <c r="A497" s="6"/>
      <c r="B497" s="6"/>
      <c r="C497" s="6"/>
      <c r="D497" s="6"/>
      <c r="E497" s="6"/>
      <c r="F497" s="6"/>
      <c r="G497" s="6"/>
      <c r="H497" s="6"/>
      <c r="I497" s="6"/>
      <c r="J497" s="6"/>
      <c r="K497" s="6"/>
      <c r="L497" s="6"/>
      <c r="M497" s="6"/>
      <c r="N497" s="6"/>
      <c r="O497" s="6"/>
      <c r="P497" s="6"/>
      <c r="Q497" s="6"/>
      <c r="R497" s="6"/>
      <c r="S497" s="6"/>
      <c r="T497" s="6"/>
      <c r="U497" s="6"/>
      <c r="V497" s="6"/>
      <c r="W497" s="6"/>
      <c r="X497" s="6"/>
      <c r="Y497" s="6"/>
      <c r="Z497" s="6"/>
      <c r="AA497" s="6"/>
    </row>
    <row r="498" spans="1:27" ht="14.25">
      <c r="A498" s="6"/>
      <c r="B498" s="6"/>
      <c r="C498" s="6"/>
      <c r="D498" s="6"/>
      <c r="E498" s="6"/>
      <c r="F498" s="6"/>
      <c r="G498" s="6"/>
      <c r="H498" s="6"/>
      <c r="I498" s="6"/>
      <c r="J498" s="6"/>
      <c r="K498" s="6"/>
      <c r="L498" s="6"/>
      <c r="M498" s="6"/>
      <c r="N498" s="6"/>
      <c r="O498" s="6"/>
      <c r="P498" s="6"/>
      <c r="Q498" s="6"/>
      <c r="R498" s="6"/>
      <c r="S498" s="6"/>
      <c r="T498" s="6"/>
      <c r="U498" s="6"/>
      <c r="V498" s="6"/>
      <c r="W498" s="6"/>
      <c r="X498" s="6"/>
      <c r="Y498" s="6"/>
      <c r="Z498" s="6"/>
      <c r="AA498" s="6"/>
    </row>
    <row r="499" spans="1:27" ht="14.25">
      <c r="A499" s="6"/>
      <c r="B499" s="6"/>
      <c r="C499" s="6"/>
      <c r="D499" s="6"/>
      <c r="E499" s="6"/>
      <c r="F499" s="6"/>
      <c r="G499" s="6"/>
      <c r="H499" s="6"/>
      <c r="I499" s="6"/>
      <c r="J499" s="6"/>
      <c r="K499" s="6"/>
      <c r="L499" s="6"/>
      <c r="M499" s="6"/>
      <c r="N499" s="6"/>
      <c r="O499" s="6"/>
      <c r="P499" s="6"/>
      <c r="Q499" s="6"/>
      <c r="R499" s="6"/>
      <c r="S499" s="6"/>
      <c r="T499" s="6"/>
      <c r="U499" s="6"/>
      <c r="V499" s="6"/>
      <c r="W499" s="6"/>
      <c r="X499" s="6"/>
      <c r="Y499" s="6"/>
      <c r="Z499" s="6"/>
      <c r="AA499" s="6"/>
    </row>
    <row r="500" spans="1:27" ht="14.25">
      <c r="A500" s="6"/>
      <c r="B500" s="6"/>
      <c r="C500" s="6"/>
      <c r="D500" s="6"/>
      <c r="E500" s="6"/>
      <c r="F500" s="6"/>
      <c r="G500" s="6"/>
      <c r="H500" s="6"/>
      <c r="I500" s="6"/>
      <c r="J500" s="6"/>
      <c r="K500" s="6"/>
      <c r="L500" s="6"/>
      <c r="M500" s="6"/>
      <c r="N500" s="6"/>
      <c r="O500" s="6"/>
      <c r="P500" s="6"/>
      <c r="Q500" s="6"/>
      <c r="R500" s="6"/>
      <c r="S500" s="6"/>
      <c r="T500" s="6"/>
      <c r="U500" s="6"/>
      <c r="V500" s="6"/>
      <c r="W500" s="6"/>
      <c r="X500" s="6"/>
      <c r="Y500" s="6"/>
      <c r="Z500" s="6"/>
      <c r="AA500" s="6"/>
    </row>
    <row r="501" spans="1:27" ht="14.25">
      <c r="A501" s="6"/>
      <c r="B501" s="6"/>
      <c r="C501" s="6"/>
      <c r="D501" s="6"/>
      <c r="E501" s="6"/>
      <c r="F501" s="6"/>
      <c r="G501" s="6"/>
      <c r="H501" s="6"/>
      <c r="I501" s="6"/>
      <c r="J501" s="6"/>
      <c r="K501" s="6"/>
      <c r="L501" s="6"/>
      <c r="M501" s="6"/>
      <c r="N501" s="6"/>
      <c r="O501" s="6"/>
      <c r="P501" s="6"/>
      <c r="Q501" s="6"/>
      <c r="R501" s="6"/>
      <c r="S501" s="6"/>
      <c r="T501" s="6"/>
      <c r="U501" s="6"/>
      <c r="V501" s="6"/>
      <c r="W501" s="6"/>
      <c r="X501" s="6"/>
      <c r="Y501" s="6"/>
      <c r="Z501" s="6"/>
      <c r="AA501" s="6"/>
    </row>
    <row r="502" spans="1:27" ht="14.25">
      <c r="A502" s="6"/>
      <c r="B502" s="6"/>
      <c r="C502" s="6"/>
      <c r="D502" s="6"/>
      <c r="E502" s="6"/>
      <c r="F502" s="6"/>
      <c r="G502" s="6"/>
      <c r="H502" s="6"/>
      <c r="I502" s="6"/>
      <c r="J502" s="6"/>
      <c r="K502" s="6"/>
      <c r="L502" s="6"/>
      <c r="M502" s="6"/>
      <c r="N502" s="6"/>
      <c r="O502" s="6"/>
      <c r="P502" s="6"/>
      <c r="Q502" s="6"/>
      <c r="R502" s="6"/>
      <c r="S502" s="6"/>
      <c r="T502" s="6"/>
      <c r="U502" s="6"/>
      <c r="V502" s="6"/>
      <c r="W502" s="6"/>
      <c r="X502" s="6"/>
      <c r="Y502" s="6"/>
      <c r="Z502" s="6"/>
      <c r="AA502" s="6"/>
    </row>
    <row r="503" spans="1:27" ht="14.25">
      <c r="A503" s="6"/>
      <c r="B503" s="6"/>
      <c r="C503" s="6"/>
      <c r="D503" s="6"/>
      <c r="E503" s="6"/>
      <c r="F503" s="6"/>
      <c r="G503" s="6"/>
      <c r="H503" s="6"/>
      <c r="I503" s="6"/>
      <c r="J503" s="6"/>
      <c r="K503" s="6"/>
      <c r="L503" s="6"/>
      <c r="M503" s="6"/>
      <c r="N503" s="6"/>
      <c r="O503" s="6"/>
      <c r="P503" s="6"/>
      <c r="Q503" s="6"/>
      <c r="R503" s="6"/>
      <c r="S503" s="6"/>
      <c r="T503" s="6"/>
      <c r="U503" s="6"/>
      <c r="V503" s="6"/>
      <c r="W503" s="6"/>
      <c r="X503" s="6"/>
      <c r="Y503" s="6"/>
      <c r="Z503" s="6"/>
      <c r="AA503" s="6"/>
    </row>
    <row r="504" spans="1:27" ht="14.25">
      <c r="A504" s="6"/>
      <c r="B504" s="6"/>
      <c r="C504" s="6"/>
      <c r="D504" s="6"/>
      <c r="E504" s="6"/>
      <c r="F504" s="6"/>
      <c r="G504" s="6"/>
      <c r="H504" s="6"/>
      <c r="I504" s="6"/>
      <c r="J504" s="6"/>
      <c r="K504" s="6"/>
      <c r="L504" s="6"/>
      <c r="M504" s="6"/>
      <c r="N504" s="6"/>
      <c r="O504" s="6"/>
      <c r="P504" s="6"/>
      <c r="Q504" s="6"/>
      <c r="R504" s="6"/>
      <c r="S504" s="6"/>
      <c r="T504" s="6"/>
      <c r="U504" s="6"/>
      <c r="V504" s="6"/>
      <c r="W504" s="6"/>
      <c r="X504" s="6"/>
      <c r="Y504" s="6"/>
      <c r="Z504" s="6"/>
      <c r="AA504" s="6"/>
    </row>
    <row r="505" spans="1:27" ht="14.25">
      <c r="A505" s="6"/>
      <c r="B505" s="6"/>
      <c r="C505" s="6"/>
      <c r="D505" s="6"/>
      <c r="E505" s="6"/>
      <c r="F505" s="6"/>
      <c r="G505" s="6"/>
      <c r="H505" s="6"/>
      <c r="I505" s="6"/>
      <c r="J505" s="6"/>
      <c r="K505" s="6"/>
      <c r="L505" s="6"/>
      <c r="M505" s="6"/>
      <c r="N505" s="6"/>
      <c r="O505" s="6"/>
      <c r="P505" s="6"/>
      <c r="Q505" s="6"/>
      <c r="R505" s="6"/>
      <c r="S505" s="6"/>
      <c r="T505" s="6"/>
      <c r="U505" s="6"/>
      <c r="V505" s="6"/>
      <c r="W505" s="6"/>
      <c r="X505" s="6"/>
      <c r="Y505" s="6"/>
      <c r="Z505" s="6"/>
      <c r="AA505" s="6"/>
    </row>
    <row r="506" spans="1:27" ht="14.25">
      <c r="A506" s="6"/>
      <c r="B506" s="6"/>
      <c r="C506" s="6"/>
      <c r="D506" s="6"/>
      <c r="E506" s="6"/>
      <c r="F506" s="6"/>
      <c r="G506" s="6"/>
      <c r="H506" s="6"/>
      <c r="I506" s="6"/>
      <c r="J506" s="6"/>
      <c r="K506" s="6"/>
      <c r="L506" s="6"/>
      <c r="M506" s="6"/>
      <c r="N506" s="6"/>
      <c r="O506" s="6"/>
      <c r="P506" s="6"/>
      <c r="Q506" s="6"/>
      <c r="R506" s="6"/>
      <c r="S506" s="6"/>
      <c r="T506" s="6"/>
      <c r="U506" s="6"/>
      <c r="V506" s="6"/>
      <c r="W506" s="6"/>
      <c r="X506" s="6"/>
      <c r="Y506" s="6"/>
      <c r="Z506" s="6"/>
      <c r="AA506" s="6"/>
    </row>
    <row r="507" spans="1:27" ht="14.25">
      <c r="A507" s="6"/>
      <c r="B507" s="6"/>
      <c r="C507" s="6"/>
      <c r="D507" s="6"/>
      <c r="E507" s="6"/>
      <c r="F507" s="6"/>
      <c r="G507" s="6"/>
      <c r="H507" s="6"/>
      <c r="I507" s="6"/>
      <c r="J507" s="6"/>
      <c r="K507" s="6"/>
      <c r="L507" s="6"/>
      <c r="M507" s="6"/>
      <c r="N507" s="6"/>
      <c r="O507" s="6"/>
      <c r="P507" s="6"/>
      <c r="Q507" s="6"/>
      <c r="R507" s="6"/>
      <c r="S507" s="6"/>
      <c r="T507" s="6"/>
      <c r="U507" s="6"/>
      <c r="V507" s="6"/>
      <c r="W507" s="6"/>
      <c r="X507" s="6"/>
      <c r="Y507" s="6"/>
      <c r="Z507" s="6"/>
      <c r="AA507" s="6"/>
    </row>
    <row r="508" spans="1:27" ht="14.25">
      <c r="A508" s="6"/>
      <c r="B508" s="6"/>
      <c r="C508" s="6"/>
      <c r="D508" s="6"/>
      <c r="E508" s="6"/>
      <c r="F508" s="6"/>
      <c r="G508" s="6"/>
      <c r="H508" s="6"/>
      <c r="I508" s="6"/>
      <c r="J508" s="6"/>
      <c r="K508" s="6"/>
      <c r="L508" s="6"/>
      <c r="M508" s="6"/>
      <c r="N508" s="6"/>
      <c r="O508" s="6"/>
      <c r="P508" s="6"/>
      <c r="Q508" s="6"/>
      <c r="R508" s="6"/>
      <c r="S508" s="6"/>
      <c r="T508" s="6"/>
      <c r="U508" s="6"/>
      <c r="V508" s="6"/>
      <c r="W508" s="6"/>
      <c r="X508" s="6"/>
      <c r="Y508" s="6"/>
      <c r="Z508" s="6"/>
      <c r="AA508" s="6"/>
    </row>
    <row r="509" spans="1:27" ht="14.25">
      <c r="A509" s="6"/>
      <c r="B509" s="6"/>
      <c r="C509" s="6"/>
      <c r="D509" s="6"/>
      <c r="E509" s="6"/>
      <c r="F509" s="6"/>
      <c r="G509" s="6"/>
      <c r="H509" s="6"/>
      <c r="I509" s="6"/>
      <c r="J509" s="6"/>
      <c r="K509" s="6"/>
      <c r="L509" s="6"/>
      <c r="M509" s="6"/>
      <c r="N509" s="6"/>
      <c r="O509" s="6"/>
      <c r="P509" s="6"/>
      <c r="Q509" s="6"/>
      <c r="R509" s="6"/>
      <c r="S509" s="6"/>
      <c r="T509" s="6"/>
      <c r="U509" s="6"/>
      <c r="V509" s="6"/>
      <c r="W509" s="6"/>
      <c r="X509" s="6"/>
      <c r="Y509" s="6"/>
      <c r="Z509" s="6"/>
      <c r="AA509" s="6"/>
    </row>
    <row r="510" spans="1:27" ht="14.25">
      <c r="A510" s="6"/>
      <c r="B510" s="6"/>
      <c r="C510" s="6"/>
      <c r="D510" s="6"/>
      <c r="E510" s="6"/>
      <c r="F510" s="6"/>
      <c r="G510" s="6"/>
      <c r="H510" s="6"/>
      <c r="I510" s="6"/>
      <c r="J510" s="6"/>
      <c r="K510" s="6"/>
      <c r="L510" s="6"/>
      <c r="M510" s="6"/>
      <c r="N510" s="6"/>
      <c r="O510" s="6"/>
      <c r="P510" s="6"/>
      <c r="Q510" s="6"/>
      <c r="R510" s="6"/>
      <c r="S510" s="6"/>
      <c r="T510" s="6"/>
      <c r="U510" s="6"/>
      <c r="V510" s="6"/>
      <c r="W510" s="6"/>
      <c r="X510" s="6"/>
      <c r="Y510" s="6"/>
      <c r="Z510" s="6"/>
      <c r="AA510" s="6"/>
    </row>
    <row r="511" spans="1:27" ht="14.25">
      <c r="A511" s="6"/>
      <c r="B511" s="6"/>
      <c r="C511" s="6"/>
      <c r="D511" s="6"/>
      <c r="E511" s="6"/>
      <c r="F511" s="6"/>
      <c r="G511" s="6"/>
      <c r="H511" s="6"/>
      <c r="I511" s="6"/>
      <c r="J511" s="6"/>
      <c r="K511" s="6"/>
      <c r="L511" s="6"/>
      <c r="M511" s="6"/>
      <c r="N511" s="6"/>
      <c r="O511" s="6"/>
      <c r="P511" s="6"/>
      <c r="Q511" s="6"/>
      <c r="R511" s="6"/>
      <c r="S511" s="6"/>
      <c r="T511" s="6"/>
      <c r="U511" s="6"/>
      <c r="V511" s="6"/>
      <c r="W511" s="6"/>
      <c r="X511" s="6"/>
      <c r="Y511" s="6"/>
      <c r="Z511" s="6"/>
      <c r="AA511" s="6"/>
    </row>
    <row r="512" spans="1:27" ht="14.25">
      <c r="A512" s="6"/>
      <c r="B512" s="6"/>
      <c r="C512" s="6"/>
      <c r="D512" s="6"/>
      <c r="E512" s="6"/>
      <c r="F512" s="6"/>
      <c r="G512" s="6"/>
      <c r="H512" s="6"/>
      <c r="I512" s="6"/>
      <c r="J512" s="6"/>
      <c r="K512" s="6"/>
      <c r="L512" s="6"/>
      <c r="M512" s="6"/>
      <c r="N512" s="6"/>
      <c r="O512" s="6"/>
      <c r="P512" s="6"/>
      <c r="Q512" s="6"/>
      <c r="R512" s="6"/>
      <c r="S512" s="6"/>
      <c r="T512" s="6"/>
      <c r="U512" s="6"/>
      <c r="V512" s="6"/>
      <c r="W512" s="6"/>
      <c r="X512" s="6"/>
      <c r="Y512" s="6"/>
      <c r="Z512" s="6"/>
      <c r="AA512" s="6"/>
    </row>
    <row r="513" spans="1:27" ht="14.25">
      <c r="A513" s="6"/>
      <c r="B513" s="6"/>
      <c r="C513" s="6"/>
      <c r="D513" s="6"/>
      <c r="E513" s="6"/>
      <c r="F513" s="6"/>
      <c r="G513" s="6"/>
      <c r="H513" s="6"/>
      <c r="I513" s="6"/>
      <c r="J513" s="6"/>
      <c r="K513" s="6"/>
      <c r="L513" s="6"/>
      <c r="M513" s="6"/>
      <c r="N513" s="6"/>
      <c r="O513" s="6"/>
      <c r="P513" s="6"/>
      <c r="Q513" s="6"/>
      <c r="R513" s="6"/>
      <c r="S513" s="6"/>
      <c r="T513" s="6"/>
      <c r="U513" s="6"/>
      <c r="V513" s="6"/>
      <c r="W513" s="6"/>
      <c r="X513" s="6"/>
      <c r="Y513" s="6"/>
      <c r="Z513" s="6"/>
      <c r="AA513" s="6"/>
    </row>
    <row r="514" spans="1:27" ht="14.25">
      <c r="A514" s="6"/>
      <c r="B514" s="6"/>
      <c r="C514" s="6"/>
      <c r="D514" s="6"/>
      <c r="E514" s="6"/>
      <c r="F514" s="6"/>
      <c r="G514" s="6"/>
      <c r="H514" s="6"/>
      <c r="I514" s="6"/>
      <c r="J514" s="6"/>
      <c r="K514" s="6"/>
      <c r="L514" s="6"/>
      <c r="M514" s="6"/>
      <c r="N514" s="6"/>
      <c r="O514" s="6"/>
      <c r="P514" s="6"/>
      <c r="Q514" s="6"/>
      <c r="R514" s="6"/>
      <c r="S514" s="6"/>
      <c r="T514" s="6"/>
      <c r="U514" s="6"/>
      <c r="V514" s="6"/>
      <c r="W514" s="6"/>
      <c r="X514" s="6"/>
      <c r="Y514" s="6"/>
      <c r="Z514" s="6"/>
      <c r="AA514" s="6"/>
    </row>
    <row r="515" spans="1:27" ht="14.25">
      <c r="A515" s="6"/>
      <c r="B515" s="6"/>
      <c r="C515" s="6"/>
      <c r="D515" s="6"/>
      <c r="E515" s="6"/>
      <c r="F515" s="6"/>
      <c r="G515" s="6"/>
      <c r="H515" s="6"/>
      <c r="I515" s="6"/>
      <c r="J515" s="6"/>
      <c r="K515" s="6"/>
      <c r="L515" s="6"/>
      <c r="M515" s="6"/>
      <c r="N515" s="6"/>
      <c r="O515" s="6"/>
      <c r="P515" s="6"/>
      <c r="Q515" s="6"/>
      <c r="R515" s="6"/>
      <c r="S515" s="6"/>
      <c r="T515" s="6"/>
      <c r="U515" s="6"/>
      <c r="V515" s="6"/>
      <c r="W515" s="6"/>
      <c r="X515" s="6"/>
      <c r="Y515" s="6"/>
      <c r="Z515" s="6"/>
      <c r="AA515" s="6"/>
    </row>
    <row r="516" spans="1:27" ht="14.25">
      <c r="A516" s="6"/>
      <c r="B516" s="6"/>
      <c r="C516" s="6"/>
      <c r="D516" s="6"/>
      <c r="E516" s="6"/>
      <c r="F516" s="6"/>
      <c r="G516" s="6"/>
      <c r="H516" s="6"/>
      <c r="I516" s="6"/>
      <c r="J516" s="6"/>
      <c r="K516" s="6"/>
      <c r="L516" s="6"/>
      <c r="M516" s="6"/>
      <c r="N516" s="6"/>
      <c r="O516" s="6"/>
      <c r="P516" s="6"/>
      <c r="Q516" s="6"/>
      <c r="R516" s="6"/>
      <c r="S516" s="6"/>
      <c r="T516" s="6"/>
      <c r="U516" s="6"/>
      <c r="V516" s="6"/>
      <c r="W516" s="6"/>
      <c r="X516" s="6"/>
      <c r="Y516" s="6"/>
      <c r="Z516" s="6"/>
      <c r="AA516" s="6"/>
    </row>
    <row r="517" spans="1:27" ht="14.25">
      <c r="A517" s="6"/>
      <c r="B517" s="6"/>
      <c r="C517" s="6"/>
      <c r="D517" s="6"/>
      <c r="E517" s="6"/>
      <c r="F517" s="6"/>
      <c r="G517" s="6"/>
      <c r="H517" s="6"/>
      <c r="I517" s="6"/>
      <c r="J517" s="6"/>
      <c r="K517" s="6"/>
      <c r="L517" s="6"/>
      <c r="M517" s="6"/>
      <c r="N517" s="6"/>
      <c r="O517" s="6"/>
      <c r="P517" s="6"/>
      <c r="Q517" s="6"/>
      <c r="R517" s="6"/>
      <c r="S517" s="6"/>
      <c r="T517" s="6"/>
      <c r="U517" s="6"/>
      <c r="V517" s="6"/>
      <c r="W517" s="6"/>
      <c r="X517" s="6"/>
      <c r="Y517" s="6"/>
      <c r="Z517" s="6"/>
      <c r="AA517" s="6"/>
    </row>
    <row r="518" spans="1:27" ht="14.25">
      <c r="A518" s="6"/>
      <c r="B518" s="6"/>
      <c r="C518" s="6"/>
      <c r="D518" s="6"/>
      <c r="E518" s="6"/>
      <c r="F518" s="6"/>
      <c r="G518" s="6"/>
      <c r="H518" s="6"/>
      <c r="I518" s="6"/>
      <c r="J518" s="6"/>
      <c r="K518" s="6"/>
      <c r="L518" s="6"/>
      <c r="M518" s="6"/>
      <c r="N518" s="6"/>
      <c r="O518" s="6"/>
      <c r="P518" s="6"/>
      <c r="Q518" s="6"/>
      <c r="R518" s="6"/>
      <c r="S518" s="6"/>
      <c r="T518" s="6"/>
      <c r="U518" s="6"/>
      <c r="V518" s="6"/>
      <c r="W518" s="6"/>
      <c r="X518" s="6"/>
      <c r="Y518" s="6"/>
      <c r="Z518" s="6"/>
      <c r="AA518" s="6"/>
    </row>
    <row r="519" spans="1:27" ht="14.25">
      <c r="A519" s="6"/>
      <c r="B519" s="6"/>
      <c r="C519" s="6"/>
      <c r="D519" s="6"/>
      <c r="E519" s="6"/>
      <c r="F519" s="6"/>
      <c r="G519" s="6"/>
      <c r="H519" s="6"/>
      <c r="I519" s="6"/>
      <c r="J519" s="6"/>
      <c r="K519" s="6"/>
      <c r="L519" s="6"/>
      <c r="M519" s="6"/>
      <c r="N519" s="6"/>
      <c r="O519" s="6"/>
      <c r="P519" s="6"/>
      <c r="Q519" s="6"/>
      <c r="R519" s="6"/>
      <c r="S519" s="6"/>
      <c r="T519" s="6"/>
      <c r="U519" s="6"/>
      <c r="V519" s="6"/>
      <c r="W519" s="6"/>
      <c r="X519" s="6"/>
      <c r="Y519" s="6"/>
      <c r="Z519" s="6"/>
      <c r="AA519" s="6"/>
    </row>
    <row r="520" spans="1:27" ht="14.25">
      <c r="A520" s="6"/>
      <c r="B520" s="6"/>
      <c r="C520" s="6"/>
      <c r="D520" s="6"/>
      <c r="E520" s="6"/>
      <c r="F520" s="6"/>
      <c r="G520" s="6"/>
      <c r="H520" s="6"/>
      <c r="I520" s="6"/>
      <c r="J520" s="6"/>
      <c r="K520" s="6"/>
      <c r="L520" s="6"/>
      <c r="M520" s="6"/>
      <c r="N520" s="6"/>
      <c r="O520" s="6"/>
      <c r="P520" s="6"/>
      <c r="Q520" s="6"/>
      <c r="R520" s="6"/>
      <c r="S520" s="6"/>
      <c r="T520" s="6"/>
      <c r="U520" s="6"/>
      <c r="V520" s="6"/>
      <c r="W520" s="6"/>
      <c r="X520" s="6"/>
      <c r="Y520" s="6"/>
      <c r="Z520" s="6"/>
      <c r="AA520" s="6"/>
    </row>
    <row r="521" spans="1:27" ht="14.25">
      <c r="A521" s="6"/>
      <c r="B521" s="6"/>
      <c r="C521" s="6"/>
      <c r="D521" s="6"/>
      <c r="E521" s="6"/>
      <c r="F521" s="6"/>
      <c r="G521" s="6"/>
      <c r="H521" s="6"/>
      <c r="I521" s="6"/>
      <c r="J521" s="6"/>
      <c r="K521" s="6"/>
      <c r="L521" s="6"/>
      <c r="M521" s="6"/>
      <c r="N521" s="6"/>
      <c r="O521" s="6"/>
      <c r="P521" s="6"/>
      <c r="Q521" s="6"/>
      <c r="R521" s="6"/>
      <c r="S521" s="6"/>
      <c r="T521" s="6"/>
      <c r="U521" s="6"/>
      <c r="V521" s="6"/>
      <c r="W521" s="6"/>
      <c r="X521" s="6"/>
      <c r="Y521" s="6"/>
      <c r="Z521" s="6"/>
      <c r="AA521" s="6"/>
    </row>
    <row r="522" spans="1:27" ht="14.25">
      <c r="A522" s="6"/>
      <c r="B522" s="6"/>
      <c r="C522" s="6"/>
      <c r="D522" s="6"/>
      <c r="E522" s="6"/>
      <c r="F522" s="6"/>
      <c r="G522" s="6"/>
      <c r="H522" s="6"/>
      <c r="I522" s="6"/>
      <c r="J522" s="6"/>
      <c r="K522" s="6"/>
      <c r="L522" s="6"/>
      <c r="M522" s="6"/>
      <c r="N522" s="6"/>
      <c r="O522" s="6"/>
      <c r="P522" s="6"/>
      <c r="Q522" s="6"/>
      <c r="R522" s="6"/>
      <c r="S522" s="6"/>
      <c r="T522" s="6"/>
      <c r="U522" s="6"/>
      <c r="V522" s="6"/>
      <c r="W522" s="6"/>
      <c r="X522" s="6"/>
      <c r="Y522" s="6"/>
      <c r="Z522" s="6"/>
      <c r="AA522" s="6"/>
    </row>
    <row r="523" spans="1:27" ht="14.25">
      <c r="A523" s="6"/>
      <c r="B523" s="6"/>
      <c r="C523" s="6"/>
      <c r="D523" s="6"/>
      <c r="E523" s="6"/>
      <c r="F523" s="6"/>
      <c r="G523" s="6"/>
      <c r="H523" s="6"/>
      <c r="I523" s="6"/>
      <c r="J523" s="6"/>
      <c r="K523" s="6"/>
      <c r="L523" s="6"/>
      <c r="M523" s="6"/>
      <c r="N523" s="6"/>
      <c r="O523" s="6"/>
      <c r="P523" s="6"/>
      <c r="Q523" s="6"/>
      <c r="R523" s="6"/>
      <c r="S523" s="6"/>
      <c r="T523" s="6"/>
      <c r="U523" s="6"/>
      <c r="V523" s="6"/>
      <c r="W523" s="6"/>
      <c r="X523" s="6"/>
      <c r="Y523" s="6"/>
      <c r="Z523" s="6"/>
      <c r="AA523" s="6"/>
    </row>
    <row r="524" spans="1:27" ht="14.25">
      <c r="A524" s="6"/>
      <c r="B524" s="6"/>
      <c r="C524" s="6"/>
      <c r="D524" s="6"/>
      <c r="E524" s="6"/>
      <c r="F524" s="6"/>
      <c r="G524" s="6"/>
      <c r="H524" s="6"/>
      <c r="I524" s="6"/>
      <c r="J524" s="6"/>
      <c r="K524" s="6"/>
      <c r="L524" s="6"/>
      <c r="M524" s="6"/>
      <c r="N524" s="6"/>
      <c r="O524" s="6"/>
      <c r="P524" s="6"/>
      <c r="Q524" s="6"/>
      <c r="R524" s="6"/>
      <c r="S524" s="6"/>
      <c r="T524" s="6"/>
      <c r="U524" s="6"/>
      <c r="V524" s="6"/>
      <c r="W524" s="6"/>
      <c r="X524" s="6"/>
      <c r="Y524" s="6"/>
      <c r="Z524" s="6"/>
      <c r="AA524" s="6"/>
    </row>
    <row r="525" spans="1:27" ht="14.25">
      <c r="A525" s="6"/>
      <c r="B525" s="6"/>
      <c r="C525" s="6"/>
      <c r="D525" s="6"/>
      <c r="E525" s="6"/>
      <c r="F525" s="6"/>
      <c r="G525" s="6"/>
      <c r="H525" s="6"/>
      <c r="I525" s="6"/>
      <c r="J525" s="6"/>
      <c r="K525" s="6"/>
      <c r="L525" s="6"/>
      <c r="M525" s="6"/>
      <c r="N525" s="6"/>
      <c r="O525" s="6"/>
      <c r="P525" s="6"/>
      <c r="Q525" s="6"/>
      <c r="R525" s="6"/>
      <c r="S525" s="6"/>
      <c r="T525" s="6"/>
      <c r="U525" s="6"/>
      <c r="V525" s="6"/>
      <c r="W525" s="6"/>
      <c r="X525" s="6"/>
      <c r="Y525" s="6"/>
      <c r="Z525" s="6"/>
      <c r="AA525" s="6"/>
    </row>
    <row r="526" spans="1:27" ht="14.25">
      <c r="A526" s="6"/>
      <c r="B526" s="6"/>
      <c r="C526" s="6"/>
      <c r="D526" s="6"/>
      <c r="E526" s="6"/>
      <c r="F526" s="6"/>
      <c r="G526" s="6"/>
      <c r="H526" s="6"/>
      <c r="I526" s="6"/>
      <c r="J526" s="6"/>
      <c r="K526" s="6"/>
      <c r="L526" s="6"/>
      <c r="M526" s="6"/>
      <c r="N526" s="6"/>
      <c r="O526" s="6"/>
      <c r="P526" s="6"/>
      <c r="Q526" s="6"/>
      <c r="R526" s="6"/>
      <c r="S526" s="6"/>
      <c r="T526" s="6"/>
      <c r="U526" s="6"/>
      <c r="V526" s="6"/>
      <c r="W526" s="6"/>
      <c r="X526" s="6"/>
      <c r="Y526" s="6"/>
      <c r="Z526" s="6"/>
      <c r="AA526" s="6"/>
    </row>
    <row r="527" spans="1:27" ht="14.25">
      <c r="A527" s="6"/>
      <c r="B527" s="6"/>
      <c r="C527" s="6"/>
      <c r="D527" s="6"/>
      <c r="E527" s="6"/>
      <c r="F527" s="6"/>
      <c r="G527" s="6"/>
      <c r="H527" s="6"/>
      <c r="I527" s="6"/>
      <c r="J527" s="6"/>
      <c r="K527" s="6"/>
      <c r="L527" s="6"/>
      <c r="M527" s="6"/>
      <c r="N527" s="6"/>
      <c r="O527" s="6"/>
      <c r="P527" s="6"/>
      <c r="Q527" s="6"/>
      <c r="R527" s="6"/>
      <c r="S527" s="6"/>
      <c r="T527" s="6"/>
      <c r="U527" s="6"/>
      <c r="V527" s="6"/>
      <c r="W527" s="6"/>
      <c r="X527" s="6"/>
      <c r="Y527" s="6"/>
      <c r="Z527" s="6"/>
      <c r="AA527" s="6"/>
    </row>
    <row r="528" spans="1:27" ht="14.25">
      <c r="A528" s="6"/>
      <c r="B528" s="6"/>
      <c r="C528" s="6"/>
      <c r="D528" s="6"/>
      <c r="E528" s="6"/>
      <c r="F528" s="6"/>
      <c r="G528" s="6"/>
      <c r="H528" s="6"/>
      <c r="I528" s="6"/>
      <c r="J528" s="6"/>
      <c r="K528" s="6"/>
      <c r="L528" s="6"/>
      <c r="M528" s="6"/>
      <c r="N528" s="6"/>
      <c r="O528" s="6"/>
      <c r="P528" s="6"/>
      <c r="Q528" s="6"/>
      <c r="R528" s="6"/>
      <c r="S528" s="6"/>
      <c r="T528" s="6"/>
      <c r="U528" s="6"/>
      <c r="V528" s="6"/>
      <c r="W528" s="6"/>
      <c r="X528" s="6"/>
      <c r="Y528" s="6"/>
      <c r="Z528" s="6"/>
      <c r="AA528" s="6"/>
    </row>
    <row r="529" spans="1:27" ht="14.25">
      <c r="A529" s="6"/>
      <c r="B529" s="6"/>
      <c r="C529" s="6"/>
      <c r="D529" s="6"/>
      <c r="E529" s="6"/>
      <c r="F529" s="6"/>
      <c r="G529" s="6"/>
      <c r="H529" s="6"/>
      <c r="I529" s="6"/>
      <c r="J529" s="6"/>
      <c r="K529" s="6"/>
      <c r="L529" s="6"/>
      <c r="M529" s="6"/>
      <c r="N529" s="6"/>
      <c r="O529" s="6"/>
      <c r="P529" s="6"/>
      <c r="Q529" s="6"/>
      <c r="R529" s="6"/>
      <c r="S529" s="6"/>
      <c r="T529" s="6"/>
      <c r="U529" s="6"/>
      <c r="V529" s="6"/>
      <c r="W529" s="6"/>
      <c r="X529" s="6"/>
      <c r="Y529" s="6"/>
      <c r="Z529" s="6"/>
      <c r="AA529" s="6"/>
    </row>
    <row r="530" spans="1:27" ht="14.25">
      <c r="A530" s="6"/>
      <c r="B530" s="6"/>
      <c r="C530" s="6"/>
      <c r="D530" s="6"/>
      <c r="E530" s="6"/>
      <c r="F530" s="6"/>
      <c r="G530" s="6"/>
      <c r="H530" s="6"/>
      <c r="I530" s="6"/>
      <c r="J530" s="6"/>
      <c r="K530" s="6"/>
      <c r="L530" s="6"/>
      <c r="M530" s="6"/>
      <c r="N530" s="6"/>
      <c r="O530" s="6"/>
      <c r="P530" s="6"/>
      <c r="Q530" s="6"/>
      <c r="R530" s="6"/>
      <c r="S530" s="6"/>
      <c r="T530" s="6"/>
      <c r="U530" s="6"/>
      <c r="V530" s="6"/>
      <c r="W530" s="6"/>
      <c r="X530" s="6"/>
      <c r="Y530" s="6"/>
      <c r="Z530" s="6"/>
      <c r="AA530" s="6"/>
    </row>
    <row r="531" spans="1:27" ht="14.25">
      <c r="A531" s="6"/>
      <c r="B531" s="6"/>
      <c r="C531" s="6"/>
      <c r="D531" s="6"/>
      <c r="E531" s="6"/>
      <c r="F531" s="6"/>
      <c r="G531" s="6"/>
      <c r="H531" s="6"/>
      <c r="I531" s="6"/>
      <c r="J531" s="6"/>
      <c r="K531" s="6"/>
      <c r="L531" s="6"/>
      <c r="M531" s="6"/>
      <c r="N531" s="6"/>
      <c r="O531" s="6"/>
      <c r="P531" s="6"/>
      <c r="Q531" s="6"/>
      <c r="R531" s="6"/>
      <c r="S531" s="6"/>
      <c r="T531" s="6"/>
      <c r="U531" s="6"/>
      <c r="V531" s="6"/>
      <c r="W531" s="6"/>
      <c r="X531" s="6"/>
      <c r="Y531" s="6"/>
      <c r="Z531" s="6"/>
      <c r="AA531" s="6"/>
    </row>
    <row r="532" spans="1:27" ht="14.25">
      <c r="A532" s="6"/>
      <c r="B532" s="6"/>
      <c r="C532" s="6"/>
      <c r="D532" s="6"/>
      <c r="E532" s="6"/>
      <c r="F532" s="6"/>
      <c r="G532" s="6"/>
      <c r="H532" s="6"/>
      <c r="I532" s="6"/>
      <c r="J532" s="6"/>
      <c r="K532" s="6"/>
      <c r="L532" s="6"/>
      <c r="M532" s="6"/>
      <c r="N532" s="6"/>
      <c r="O532" s="6"/>
      <c r="P532" s="6"/>
      <c r="Q532" s="6"/>
      <c r="R532" s="6"/>
      <c r="S532" s="6"/>
      <c r="T532" s="6"/>
      <c r="U532" s="6"/>
      <c r="V532" s="6"/>
      <c r="W532" s="6"/>
      <c r="X532" s="6"/>
      <c r="Y532" s="6"/>
      <c r="Z532" s="6"/>
      <c r="AA532" s="6"/>
    </row>
    <row r="533" spans="1:27" ht="14.25">
      <c r="A533" s="6"/>
      <c r="B533" s="6"/>
      <c r="C533" s="6"/>
      <c r="D533" s="6"/>
      <c r="E533" s="6"/>
      <c r="F533" s="6"/>
      <c r="G533" s="6"/>
      <c r="H533" s="6"/>
      <c r="I533" s="6"/>
      <c r="J533" s="6"/>
      <c r="K533" s="6"/>
      <c r="L533" s="6"/>
      <c r="M533" s="6"/>
      <c r="N533" s="6"/>
      <c r="O533" s="6"/>
      <c r="P533" s="6"/>
      <c r="Q533" s="6"/>
      <c r="R533" s="6"/>
      <c r="S533" s="6"/>
      <c r="T533" s="6"/>
      <c r="U533" s="6"/>
      <c r="V533" s="6"/>
      <c r="W533" s="6"/>
      <c r="X533" s="6"/>
      <c r="Y533" s="6"/>
      <c r="Z533" s="6"/>
      <c r="AA533" s="6"/>
    </row>
    <row r="534" spans="1:27" ht="14.25">
      <c r="A534" s="6"/>
      <c r="B534" s="6"/>
      <c r="C534" s="6"/>
      <c r="D534" s="6"/>
      <c r="E534" s="6"/>
      <c r="F534" s="6"/>
      <c r="G534" s="6"/>
      <c r="H534" s="6"/>
      <c r="I534" s="6"/>
      <c r="J534" s="6"/>
      <c r="K534" s="6"/>
      <c r="L534" s="6"/>
      <c r="M534" s="6"/>
      <c r="N534" s="6"/>
      <c r="O534" s="6"/>
      <c r="P534" s="6"/>
      <c r="Q534" s="6"/>
      <c r="R534" s="6"/>
      <c r="S534" s="6"/>
      <c r="T534" s="6"/>
      <c r="U534" s="6"/>
      <c r="V534" s="6"/>
      <c r="W534" s="6"/>
      <c r="X534" s="6"/>
      <c r="Y534" s="6"/>
      <c r="Z534" s="6"/>
      <c r="AA534" s="6"/>
    </row>
    <row r="535" spans="1:27" ht="14.25">
      <c r="A535" s="6"/>
      <c r="B535" s="6"/>
      <c r="C535" s="6"/>
      <c r="D535" s="6"/>
      <c r="E535" s="6"/>
      <c r="F535" s="6"/>
      <c r="G535" s="6"/>
      <c r="H535" s="6"/>
      <c r="I535" s="6"/>
      <c r="J535" s="6"/>
      <c r="K535" s="6"/>
      <c r="L535" s="6"/>
      <c r="M535" s="6"/>
      <c r="N535" s="6"/>
      <c r="O535" s="6"/>
      <c r="P535" s="6"/>
      <c r="Q535" s="6"/>
      <c r="R535" s="6"/>
      <c r="S535" s="6"/>
      <c r="T535" s="6"/>
      <c r="U535" s="6"/>
      <c r="V535" s="6"/>
      <c r="W535" s="6"/>
      <c r="X535" s="6"/>
      <c r="Y535" s="6"/>
      <c r="Z535" s="6"/>
      <c r="AA535" s="6"/>
    </row>
    <row r="536" spans="1:27" ht="14.25">
      <c r="A536" s="6"/>
      <c r="B536" s="6"/>
      <c r="C536" s="6"/>
      <c r="D536" s="6"/>
      <c r="E536" s="6"/>
      <c r="F536" s="6"/>
      <c r="G536" s="6"/>
      <c r="H536" s="6"/>
      <c r="I536" s="6"/>
      <c r="J536" s="6"/>
      <c r="K536" s="6"/>
      <c r="L536" s="6"/>
      <c r="M536" s="6"/>
      <c r="N536" s="6"/>
      <c r="O536" s="6"/>
      <c r="P536" s="6"/>
      <c r="Q536" s="6"/>
      <c r="R536" s="6"/>
      <c r="S536" s="6"/>
      <c r="T536" s="6"/>
      <c r="U536" s="6"/>
      <c r="V536" s="6"/>
      <c r="W536" s="6"/>
      <c r="X536" s="6"/>
      <c r="Y536" s="6"/>
      <c r="Z536" s="6"/>
      <c r="AA536" s="6"/>
    </row>
    <row r="537" spans="1:27" ht="14.25">
      <c r="A537" s="6"/>
      <c r="B537" s="6"/>
      <c r="C537" s="6"/>
      <c r="D537" s="6"/>
      <c r="E537" s="6"/>
      <c r="F537" s="6"/>
      <c r="G537" s="6"/>
      <c r="H537" s="6"/>
      <c r="I537" s="6"/>
      <c r="J537" s="6"/>
      <c r="K537" s="6"/>
      <c r="L537" s="6"/>
      <c r="M537" s="6"/>
      <c r="N537" s="6"/>
      <c r="O537" s="6"/>
      <c r="P537" s="6"/>
      <c r="Q537" s="6"/>
      <c r="R537" s="6"/>
      <c r="S537" s="6"/>
      <c r="T537" s="6"/>
      <c r="U537" s="6"/>
      <c r="V537" s="6"/>
      <c r="W537" s="6"/>
      <c r="X537" s="6"/>
      <c r="Y537" s="6"/>
      <c r="Z537" s="6"/>
      <c r="AA537" s="6"/>
    </row>
    <row r="538" spans="1:27" ht="14.25">
      <c r="A538" s="6"/>
      <c r="B538" s="6"/>
      <c r="C538" s="6"/>
      <c r="D538" s="6"/>
      <c r="E538" s="6"/>
      <c r="F538" s="6"/>
      <c r="G538" s="6"/>
      <c r="H538" s="6"/>
      <c r="I538" s="6"/>
      <c r="J538" s="6"/>
      <c r="K538" s="6"/>
      <c r="L538" s="6"/>
      <c r="M538" s="6"/>
      <c r="N538" s="6"/>
      <c r="O538" s="6"/>
      <c r="P538" s="6"/>
      <c r="Q538" s="6"/>
      <c r="R538" s="6"/>
      <c r="S538" s="6"/>
      <c r="T538" s="6"/>
      <c r="U538" s="6"/>
      <c r="V538" s="6"/>
      <c r="W538" s="6"/>
      <c r="X538" s="6"/>
      <c r="Y538" s="6"/>
      <c r="Z538" s="6"/>
      <c r="AA538" s="6"/>
    </row>
    <row r="539" spans="1:27" ht="14.25">
      <c r="A539" s="6"/>
      <c r="B539" s="6"/>
      <c r="C539" s="6"/>
      <c r="D539" s="6"/>
      <c r="E539" s="6"/>
      <c r="F539" s="6"/>
      <c r="G539" s="6"/>
      <c r="H539" s="6"/>
      <c r="I539" s="6"/>
      <c r="J539" s="6"/>
      <c r="K539" s="6"/>
      <c r="L539" s="6"/>
      <c r="M539" s="6"/>
      <c r="N539" s="6"/>
      <c r="O539" s="6"/>
      <c r="P539" s="6"/>
      <c r="Q539" s="6"/>
      <c r="R539" s="6"/>
      <c r="S539" s="6"/>
      <c r="T539" s="6"/>
      <c r="U539" s="6"/>
      <c r="V539" s="6"/>
      <c r="W539" s="6"/>
      <c r="X539" s="6"/>
      <c r="Y539" s="6"/>
      <c r="Z539" s="6"/>
      <c r="AA539" s="6"/>
    </row>
    <row r="540" spans="1:27" ht="14.25">
      <c r="A540" s="6"/>
      <c r="B540" s="6"/>
      <c r="C540" s="6"/>
      <c r="D540" s="6"/>
      <c r="E540" s="6"/>
      <c r="F540" s="6"/>
      <c r="G540" s="6"/>
      <c r="H540" s="6"/>
      <c r="I540" s="6"/>
      <c r="J540" s="6"/>
      <c r="K540" s="6"/>
      <c r="L540" s="6"/>
      <c r="M540" s="6"/>
      <c r="N540" s="6"/>
      <c r="O540" s="6"/>
      <c r="P540" s="6"/>
      <c r="Q540" s="6"/>
      <c r="R540" s="6"/>
      <c r="S540" s="6"/>
      <c r="T540" s="6"/>
      <c r="U540" s="6"/>
      <c r="V540" s="6"/>
      <c r="W540" s="6"/>
      <c r="X540" s="6"/>
      <c r="Y540" s="6"/>
      <c r="Z540" s="6"/>
      <c r="AA540" s="6"/>
    </row>
    <row r="541" spans="1:27" ht="14.25">
      <c r="A541" s="6"/>
      <c r="B541" s="6"/>
      <c r="C541" s="6"/>
      <c r="D541" s="6"/>
      <c r="E541" s="6"/>
      <c r="F541" s="6"/>
      <c r="G541" s="6"/>
      <c r="H541" s="6"/>
      <c r="I541" s="6"/>
      <c r="J541" s="6"/>
      <c r="K541" s="6"/>
      <c r="L541" s="6"/>
      <c r="M541" s="6"/>
      <c r="N541" s="6"/>
      <c r="O541" s="6"/>
      <c r="P541" s="6"/>
      <c r="Q541" s="6"/>
      <c r="R541" s="6"/>
      <c r="S541" s="6"/>
      <c r="T541" s="6"/>
      <c r="U541" s="6"/>
      <c r="V541" s="6"/>
      <c r="W541" s="6"/>
      <c r="X541" s="6"/>
      <c r="Y541" s="6"/>
      <c r="Z541" s="6"/>
      <c r="AA541" s="6"/>
    </row>
    <row r="542" spans="1:27" ht="14.25">
      <c r="A542" s="6"/>
      <c r="B542" s="6"/>
      <c r="C542" s="6"/>
      <c r="D542" s="6"/>
      <c r="E542" s="6"/>
      <c r="F542" s="6"/>
      <c r="G542" s="6"/>
      <c r="H542" s="6"/>
      <c r="I542" s="6"/>
      <c r="J542" s="6"/>
      <c r="K542" s="6"/>
      <c r="L542" s="6"/>
      <c r="M542" s="6"/>
      <c r="N542" s="6"/>
      <c r="O542" s="6"/>
      <c r="P542" s="6"/>
      <c r="Q542" s="6"/>
      <c r="R542" s="6"/>
      <c r="S542" s="6"/>
      <c r="T542" s="6"/>
      <c r="U542" s="6"/>
      <c r="V542" s="6"/>
      <c r="W542" s="6"/>
      <c r="X542" s="6"/>
      <c r="Y542" s="6"/>
      <c r="Z542" s="6"/>
      <c r="AA542" s="6"/>
    </row>
    <row r="543" spans="1:27" ht="14.25">
      <c r="A543" s="6"/>
      <c r="B543" s="6"/>
      <c r="C543" s="6"/>
      <c r="D543" s="6"/>
      <c r="E543" s="6"/>
      <c r="F543" s="6"/>
      <c r="G543" s="6"/>
      <c r="H543" s="6"/>
      <c r="I543" s="6"/>
      <c r="J543" s="6"/>
      <c r="K543" s="6"/>
      <c r="L543" s="6"/>
      <c r="M543" s="6"/>
      <c r="N543" s="6"/>
      <c r="O543" s="6"/>
      <c r="P543" s="6"/>
      <c r="Q543" s="6"/>
      <c r="R543" s="6"/>
      <c r="S543" s="6"/>
      <c r="T543" s="6"/>
      <c r="U543" s="6"/>
      <c r="V543" s="6"/>
      <c r="W543" s="6"/>
      <c r="X543" s="6"/>
      <c r="Y543" s="6"/>
      <c r="Z543" s="6"/>
      <c r="AA543" s="6"/>
    </row>
    <row r="544" spans="1:27" ht="14.25">
      <c r="A544" s="6"/>
      <c r="B544" s="6"/>
      <c r="C544" s="6"/>
      <c r="D544" s="6"/>
      <c r="E544" s="6"/>
      <c r="F544" s="6"/>
      <c r="G544" s="6"/>
      <c r="H544" s="6"/>
      <c r="I544" s="6"/>
      <c r="J544" s="6"/>
      <c r="K544" s="6"/>
      <c r="L544" s="6"/>
      <c r="M544" s="6"/>
      <c r="N544" s="6"/>
      <c r="O544" s="6"/>
      <c r="P544" s="6"/>
      <c r="Q544" s="6"/>
      <c r="R544" s="6"/>
      <c r="S544" s="6"/>
      <c r="T544" s="6"/>
      <c r="U544" s="6"/>
      <c r="V544" s="6"/>
      <c r="W544" s="6"/>
      <c r="X544" s="6"/>
      <c r="Y544" s="6"/>
      <c r="Z544" s="6"/>
      <c r="AA544" s="6"/>
    </row>
    <row r="545" spans="1:27" ht="14.25">
      <c r="A545" s="6"/>
      <c r="B545" s="6"/>
      <c r="C545" s="6"/>
      <c r="D545" s="6"/>
      <c r="E545" s="6"/>
      <c r="F545" s="6"/>
      <c r="G545" s="6"/>
      <c r="H545" s="6"/>
      <c r="I545" s="6"/>
      <c r="J545" s="6"/>
      <c r="K545" s="6"/>
      <c r="L545" s="6"/>
      <c r="M545" s="6"/>
      <c r="N545" s="6"/>
      <c r="O545" s="6"/>
      <c r="P545" s="6"/>
      <c r="Q545" s="6"/>
      <c r="R545" s="6"/>
      <c r="S545" s="6"/>
      <c r="T545" s="6"/>
      <c r="U545" s="6"/>
      <c r="V545" s="6"/>
      <c r="W545" s="6"/>
      <c r="X545" s="6"/>
      <c r="Y545" s="6"/>
      <c r="Z545" s="6"/>
      <c r="AA545" s="6"/>
    </row>
    <row r="546" spans="1:27" ht="14.25">
      <c r="A546" s="6"/>
      <c r="B546" s="6"/>
      <c r="C546" s="6"/>
      <c r="D546" s="6"/>
      <c r="E546" s="6"/>
      <c r="F546" s="6"/>
      <c r="G546" s="6"/>
      <c r="H546" s="6"/>
      <c r="I546" s="6"/>
      <c r="J546" s="6"/>
      <c r="K546" s="6"/>
      <c r="L546" s="6"/>
      <c r="M546" s="6"/>
      <c r="N546" s="6"/>
      <c r="O546" s="6"/>
      <c r="P546" s="6"/>
      <c r="Q546" s="6"/>
      <c r="R546" s="6"/>
      <c r="S546" s="6"/>
      <c r="T546" s="6"/>
      <c r="U546" s="6"/>
      <c r="V546" s="6"/>
      <c r="W546" s="6"/>
      <c r="X546" s="6"/>
      <c r="Y546" s="6"/>
      <c r="Z546" s="6"/>
      <c r="AA546" s="6"/>
    </row>
    <row r="547" spans="1:27" ht="14.25">
      <c r="A547" s="6"/>
      <c r="B547" s="6"/>
      <c r="C547" s="6"/>
      <c r="D547" s="6"/>
      <c r="E547" s="6"/>
      <c r="F547" s="6"/>
      <c r="G547" s="6"/>
      <c r="H547" s="6"/>
      <c r="I547" s="6"/>
      <c r="J547" s="6"/>
      <c r="K547" s="6"/>
      <c r="L547" s="6"/>
      <c r="M547" s="6"/>
      <c r="N547" s="6"/>
      <c r="O547" s="6"/>
      <c r="P547" s="6"/>
      <c r="Q547" s="6"/>
      <c r="R547" s="6"/>
      <c r="S547" s="6"/>
      <c r="T547" s="6"/>
      <c r="U547" s="6"/>
      <c r="V547" s="6"/>
      <c r="W547" s="6"/>
      <c r="X547" s="6"/>
      <c r="Y547" s="6"/>
      <c r="Z547" s="6"/>
      <c r="AA547" s="6"/>
    </row>
    <row r="548" spans="1:27" ht="14.25">
      <c r="A548" s="6"/>
      <c r="B548" s="6"/>
      <c r="C548" s="6"/>
      <c r="D548" s="6"/>
      <c r="E548" s="6"/>
      <c r="F548" s="6"/>
      <c r="G548" s="6"/>
      <c r="H548" s="6"/>
      <c r="I548" s="6"/>
      <c r="J548" s="6"/>
      <c r="K548" s="6"/>
      <c r="L548" s="6"/>
      <c r="M548" s="6"/>
      <c r="N548" s="6"/>
      <c r="O548" s="6"/>
      <c r="P548" s="6"/>
      <c r="Q548" s="6"/>
      <c r="R548" s="6"/>
      <c r="S548" s="6"/>
      <c r="T548" s="6"/>
      <c r="U548" s="6"/>
      <c r="V548" s="6"/>
      <c r="W548" s="6"/>
      <c r="X548" s="6"/>
      <c r="Y548" s="6"/>
      <c r="Z548" s="6"/>
      <c r="AA548" s="6"/>
    </row>
    <row r="549" spans="1:27" ht="14.25">
      <c r="A549" s="6"/>
      <c r="B549" s="6"/>
      <c r="C549" s="6"/>
      <c r="D549" s="6"/>
      <c r="E549" s="6"/>
      <c r="F549" s="6"/>
      <c r="G549" s="6"/>
      <c r="H549" s="6"/>
      <c r="I549" s="6"/>
      <c r="J549" s="6"/>
      <c r="K549" s="6"/>
      <c r="L549" s="6"/>
      <c r="M549" s="6"/>
      <c r="N549" s="6"/>
      <c r="O549" s="6"/>
      <c r="P549" s="6"/>
      <c r="Q549" s="6"/>
      <c r="R549" s="6"/>
      <c r="S549" s="6"/>
      <c r="T549" s="6"/>
      <c r="U549" s="6"/>
      <c r="V549" s="6"/>
      <c r="W549" s="6"/>
      <c r="X549" s="6"/>
      <c r="Y549" s="6"/>
      <c r="Z549" s="6"/>
      <c r="AA549" s="6"/>
    </row>
    <row r="550" spans="1:27" ht="14.25">
      <c r="A550" s="6"/>
      <c r="B550" s="6"/>
      <c r="C550" s="6"/>
      <c r="D550" s="6"/>
      <c r="E550" s="6"/>
      <c r="F550" s="6"/>
      <c r="G550" s="6"/>
      <c r="H550" s="6"/>
      <c r="I550" s="6"/>
      <c r="J550" s="6"/>
      <c r="K550" s="6"/>
      <c r="L550" s="6"/>
      <c r="M550" s="6"/>
      <c r="N550" s="6"/>
      <c r="O550" s="6"/>
      <c r="P550" s="6"/>
      <c r="Q550" s="6"/>
      <c r="R550" s="6"/>
      <c r="S550" s="6"/>
      <c r="T550" s="6"/>
      <c r="U550" s="6"/>
      <c r="V550" s="6"/>
      <c r="W550" s="6"/>
      <c r="X550" s="6"/>
      <c r="Y550" s="6"/>
      <c r="Z550" s="6"/>
      <c r="AA550" s="6"/>
    </row>
    <row r="551" spans="1:27" ht="14.25">
      <c r="A551" s="6"/>
      <c r="B551" s="6"/>
      <c r="C551" s="6"/>
      <c r="D551" s="6"/>
      <c r="E551" s="6"/>
      <c r="F551" s="6"/>
      <c r="G551" s="6"/>
      <c r="H551" s="6"/>
      <c r="I551" s="6"/>
      <c r="J551" s="6"/>
      <c r="K551" s="6"/>
      <c r="L551" s="6"/>
      <c r="M551" s="6"/>
      <c r="N551" s="6"/>
      <c r="O551" s="6"/>
      <c r="P551" s="6"/>
      <c r="Q551" s="6"/>
      <c r="R551" s="6"/>
      <c r="S551" s="6"/>
      <c r="T551" s="6"/>
      <c r="U551" s="6"/>
      <c r="V551" s="6"/>
      <c r="W551" s="6"/>
      <c r="X551" s="6"/>
      <c r="Y551" s="6"/>
      <c r="Z551" s="6"/>
      <c r="AA551" s="6"/>
    </row>
    <row r="552" spans="1:27" ht="14.25">
      <c r="A552" s="6"/>
      <c r="B552" s="6"/>
      <c r="C552" s="6"/>
      <c r="D552" s="6"/>
      <c r="E552" s="6"/>
      <c r="F552" s="6"/>
      <c r="G552" s="6"/>
      <c r="H552" s="6"/>
      <c r="I552" s="6"/>
      <c r="J552" s="6"/>
      <c r="K552" s="6"/>
      <c r="L552" s="6"/>
      <c r="M552" s="6"/>
      <c r="N552" s="6"/>
      <c r="O552" s="6"/>
      <c r="P552" s="6"/>
      <c r="Q552" s="6"/>
      <c r="R552" s="6"/>
      <c r="S552" s="6"/>
      <c r="T552" s="6"/>
      <c r="U552" s="6"/>
      <c r="V552" s="6"/>
      <c r="W552" s="6"/>
      <c r="X552" s="6"/>
      <c r="Y552" s="6"/>
      <c r="Z552" s="6"/>
      <c r="AA552" s="6"/>
    </row>
    <row r="553" spans="1:27" ht="14.25">
      <c r="A553" s="6"/>
      <c r="B553" s="6"/>
      <c r="C553" s="6"/>
      <c r="D553" s="6"/>
      <c r="E553" s="6"/>
      <c r="F553" s="6"/>
      <c r="G553" s="6"/>
      <c r="H553" s="6"/>
      <c r="I553" s="6"/>
      <c r="J553" s="6"/>
      <c r="K553" s="6"/>
      <c r="L553" s="6"/>
      <c r="M553" s="6"/>
      <c r="N553" s="6"/>
      <c r="O553" s="6"/>
      <c r="P553" s="6"/>
      <c r="Q553" s="6"/>
      <c r="R553" s="6"/>
      <c r="S553" s="6"/>
      <c r="T553" s="6"/>
      <c r="U553" s="6"/>
      <c r="V553" s="6"/>
      <c r="W553" s="6"/>
      <c r="X553" s="6"/>
      <c r="Y553" s="6"/>
      <c r="Z553" s="6"/>
      <c r="AA553" s="6"/>
    </row>
    <row r="554" spans="1:27" ht="14.25">
      <c r="A554" s="6"/>
      <c r="B554" s="6"/>
      <c r="C554" s="6"/>
      <c r="D554" s="6"/>
      <c r="E554" s="6"/>
      <c r="F554" s="6"/>
      <c r="G554" s="6"/>
      <c r="H554" s="6"/>
      <c r="I554" s="6"/>
      <c r="J554" s="6"/>
      <c r="K554" s="6"/>
      <c r="L554" s="6"/>
      <c r="M554" s="6"/>
      <c r="N554" s="6"/>
      <c r="O554" s="6"/>
      <c r="P554" s="6"/>
      <c r="Q554" s="6"/>
      <c r="R554" s="6"/>
      <c r="S554" s="6"/>
      <c r="T554" s="6"/>
      <c r="U554" s="6"/>
      <c r="V554" s="6"/>
      <c r="W554" s="6"/>
      <c r="X554" s="6"/>
      <c r="Y554" s="6"/>
      <c r="Z554" s="6"/>
      <c r="AA554" s="6"/>
    </row>
    <row r="555" spans="1:27" ht="14.25">
      <c r="A555" s="6"/>
      <c r="B555" s="6"/>
      <c r="C555" s="6"/>
      <c r="D555" s="6"/>
      <c r="E555" s="6"/>
      <c r="F555" s="6"/>
      <c r="G555" s="6"/>
      <c r="H555" s="6"/>
      <c r="I555" s="6"/>
      <c r="J555" s="6"/>
      <c r="K555" s="6"/>
      <c r="L555" s="6"/>
      <c r="M555" s="6"/>
      <c r="N555" s="6"/>
      <c r="O555" s="6"/>
      <c r="P555" s="6"/>
      <c r="Q555" s="6"/>
      <c r="R555" s="6"/>
      <c r="S555" s="6"/>
      <c r="T555" s="6"/>
      <c r="U555" s="6"/>
      <c r="V555" s="6"/>
      <c r="W555" s="6"/>
      <c r="X555" s="6"/>
      <c r="Y555" s="6"/>
      <c r="Z555" s="6"/>
      <c r="AA555" s="6"/>
    </row>
    <row r="556" spans="1:27" ht="14.25">
      <c r="A556" s="6"/>
      <c r="B556" s="6"/>
      <c r="C556" s="6"/>
      <c r="D556" s="6"/>
      <c r="E556" s="6"/>
      <c r="F556" s="6"/>
      <c r="G556" s="6"/>
      <c r="H556" s="6"/>
      <c r="I556" s="6"/>
      <c r="J556" s="6"/>
      <c r="K556" s="6"/>
      <c r="L556" s="6"/>
      <c r="M556" s="6"/>
      <c r="N556" s="6"/>
      <c r="O556" s="6"/>
      <c r="P556" s="6"/>
      <c r="Q556" s="6"/>
      <c r="R556" s="6"/>
      <c r="S556" s="6"/>
      <c r="T556" s="6"/>
      <c r="U556" s="6"/>
      <c r="V556" s="6"/>
      <c r="W556" s="6"/>
      <c r="X556" s="6"/>
      <c r="Y556" s="6"/>
      <c r="Z556" s="6"/>
      <c r="AA556" s="6"/>
    </row>
    <row r="557" spans="1:27" ht="14.25">
      <c r="A557" s="6"/>
      <c r="B557" s="6"/>
      <c r="C557" s="6"/>
      <c r="D557" s="6"/>
      <c r="E557" s="6"/>
      <c r="F557" s="6"/>
      <c r="G557" s="6"/>
      <c r="H557" s="6"/>
      <c r="I557" s="6"/>
      <c r="J557" s="6"/>
      <c r="K557" s="6"/>
      <c r="L557" s="6"/>
      <c r="M557" s="6"/>
      <c r="N557" s="6"/>
      <c r="O557" s="6"/>
      <c r="P557" s="6"/>
      <c r="Q557" s="6"/>
      <c r="R557" s="6"/>
      <c r="S557" s="6"/>
      <c r="T557" s="6"/>
      <c r="U557" s="6"/>
      <c r="V557" s="6"/>
      <c r="W557" s="6"/>
      <c r="X557" s="6"/>
      <c r="Y557" s="6"/>
      <c r="Z557" s="6"/>
      <c r="AA557" s="6"/>
    </row>
    <row r="558" spans="1:27" ht="14.25">
      <c r="A558" s="6"/>
      <c r="B558" s="6"/>
      <c r="C558" s="6"/>
      <c r="D558" s="6"/>
      <c r="E558" s="6"/>
      <c r="F558" s="6"/>
      <c r="G558" s="6"/>
      <c r="H558" s="6"/>
      <c r="I558" s="6"/>
      <c r="J558" s="6"/>
      <c r="K558" s="6"/>
      <c r="L558" s="6"/>
      <c r="M558" s="6"/>
      <c r="N558" s="6"/>
      <c r="O558" s="6"/>
      <c r="P558" s="6"/>
      <c r="Q558" s="6"/>
      <c r="R558" s="6"/>
      <c r="S558" s="6"/>
      <c r="T558" s="6"/>
      <c r="U558" s="6"/>
      <c r="V558" s="6"/>
      <c r="W558" s="6"/>
      <c r="X558" s="6"/>
      <c r="Y558" s="6"/>
      <c r="Z558" s="6"/>
      <c r="AA558" s="6"/>
    </row>
    <row r="559" spans="1:27" ht="14.25">
      <c r="A559" s="6"/>
      <c r="B559" s="6"/>
      <c r="C559" s="6"/>
      <c r="D559" s="6"/>
      <c r="E559" s="6"/>
      <c r="F559" s="6"/>
      <c r="G559" s="6"/>
      <c r="H559" s="6"/>
      <c r="I559" s="6"/>
      <c r="J559" s="6"/>
      <c r="K559" s="6"/>
      <c r="L559" s="6"/>
      <c r="M559" s="6"/>
      <c r="N559" s="6"/>
      <c r="O559" s="6"/>
      <c r="P559" s="6"/>
      <c r="Q559" s="6"/>
      <c r="R559" s="6"/>
      <c r="S559" s="6"/>
      <c r="T559" s="6"/>
      <c r="U559" s="6"/>
      <c r="V559" s="6"/>
      <c r="W559" s="6"/>
      <c r="X559" s="6"/>
      <c r="Y559" s="6"/>
      <c r="Z559" s="6"/>
      <c r="AA559" s="6"/>
    </row>
    <row r="560" spans="1:27" ht="14.25">
      <c r="A560" s="6"/>
      <c r="B560" s="6"/>
      <c r="C560" s="6"/>
      <c r="D560" s="6"/>
      <c r="E560" s="6"/>
      <c r="F560" s="6"/>
      <c r="G560" s="6"/>
      <c r="H560" s="6"/>
      <c r="I560" s="6"/>
      <c r="J560" s="6"/>
      <c r="K560" s="6"/>
      <c r="L560" s="6"/>
      <c r="M560" s="6"/>
      <c r="N560" s="6"/>
      <c r="O560" s="6"/>
      <c r="P560" s="6"/>
      <c r="Q560" s="6"/>
      <c r="R560" s="6"/>
      <c r="S560" s="6"/>
      <c r="T560" s="6"/>
      <c r="U560" s="6"/>
      <c r="V560" s="6"/>
      <c r="W560" s="6"/>
      <c r="X560" s="6"/>
      <c r="Y560" s="6"/>
      <c r="Z560" s="6"/>
      <c r="AA560" s="6"/>
    </row>
    <row r="561" spans="1:27" ht="14.25">
      <c r="A561" s="6"/>
      <c r="B561" s="6"/>
      <c r="C561" s="6"/>
      <c r="D561" s="6"/>
      <c r="E561" s="6"/>
      <c r="F561" s="6"/>
      <c r="G561" s="6"/>
      <c r="H561" s="6"/>
      <c r="I561" s="6"/>
      <c r="J561" s="6"/>
      <c r="K561" s="6"/>
      <c r="L561" s="6"/>
      <c r="M561" s="6"/>
      <c r="N561" s="6"/>
      <c r="O561" s="6"/>
      <c r="P561" s="6"/>
      <c r="Q561" s="6"/>
      <c r="R561" s="6"/>
      <c r="S561" s="6"/>
      <c r="T561" s="6"/>
      <c r="U561" s="6"/>
      <c r="V561" s="6"/>
      <c r="W561" s="6"/>
      <c r="X561" s="6"/>
      <c r="Y561" s="6"/>
      <c r="Z561" s="6"/>
      <c r="AA561" s="6"/>
    </row>
    <row r="562" spans="1:27" ht="14.25">
      <c r="A562" s="6"/>
      <c r="B562" s="6"/>
      <c r="C562" s="6"/>
      <c r="D562" s="6"/>
      <c r="E562" s="6"/>
      <c r="F562" s="6"/>
      <c r="G562" s="6"/>
      <c r="H562" s="6"/>
      <c r="I562" s="6"/>
      <c r="J562" s="6"/>
      <c r="K562" s="6"/>
      <c r="L562" s="6"/>
      <c r="M562" s="6"/>
      <c r="N562" s="6"/>
      <c r="O562" s="6"/>
      <c r="P562" s="6"/>
      <c r="Q562" s="6"/>
      <c r="R562" s="6"/>
      <c r="S562" s="6"/>
      <c r="T562" s="6"/>
      <c r="U562" s="6"/>
      <c r="V562" s="6"/>
      <c r="W562" s="6"/>
      <c r="X562" s="6"/>
      <c r="Y562" s="6"/>
      <c r="Z562" s="6"/>
      <c r="AA562" s="6"/>
    </row>
    <row r="563" spans="1:27" ht="14.25">
      <c r="A563" s="6"/>
      <c r="B563" s="6"/>
      <c r="C563" s="6"/>
      <c r="D563" s="6"/>
      <c r="E563" s="6"/>
      <c r="F563" s="6"/>
      <c r="G563" s="6"/>
      <c r="H563" s="6"/>
      <c r="I563" s="6"/>
      <c r="J563" s="6"/>
      <c r="K563" s="6"/>
      <c r="L563" s="6"/>
      <c r="M563" s="6"/>
      <c r="N563" s="6"/>
      <c r="O563" s="6"/>
      <c r="P563" s="6"/>
      <c r="Q563" s="6"/>
      <c r="R563" s="6"/>
      <c r="S563" s="6"/>
      <c r="T563" s="6"/>
      <c r="U563" s="6"/>
      <c r="V563" s="6"/>
      <c r="W563" s="6"/>
      <c r="X563" s="6"/>
      <c r="Y563" s="6"/>
      <c r="Z563" s="6"/>
      <c r="AA563" s="6"/>
    </row>
    <row r="564" spans="1:27" ht="14.25">
      <c r="A564" s="6"/>
      <c r="B564" s="6"/>
      <c r="C564" s="6"/>
      <c r="D564" s="6"/>
      <c r="E564" s="6"/>
      <c r="F564" s="6"/>
      <c r="G564" s="6"/>
      <c r="H564" s="6"/>
      <c r="I564" s="6"/>
      <c r="J564" s="6"/>
      <c r="K564" s="6"/>
      <c r="L564" s="6"/>
      <c r="M564" s="6"/>
      <c r="N564" s="6"/>
      <c r="O564" s="6"/>
      <c r="P564" s="6"/>
      <c r="Q564" s="6"/>
      <c r="R564" s="6"/>
      <c r="S564" s="6"/>
      <c r="T564" s="6"/>
      <c r="U564" s="6"/>
      <c r="V564" s="6"/>
      <c r="W564" s="6"/>
      <c r="X564" s="6"/>
      <c r="Y564" s="6"/>
      <c r="Z564" s="6"/>
      <c r="AA564" s="6"/>
    </row>
    <row r="565" spans="1:27" ht="14.25">
      <c r="A565" s="6"/>
      <c r="B565" s="6"/>
      <c r="C565" s="6"/>
      <c r="D565" s="6"/>
      <c r="E565" s="6"/>
      <c r="F565" s="6"/>
      <c r="G565" s="6"/>
      <c r="H565" s="6"/>
      <c r="I565" s="6"/>
      <c r="J565" s="6"/>
      <c r="K565" s="6"/>
      <c r="L565" s="6"/>
      <c r="M565" s="6"/>
      <c r="N565" s="6"/>
      <c r="O565" s="6"/>
      <c r="P565" s="6"/>
      <c r="Q565" s="6"/>
      <c r="R565" s="6"/>
      <c r="S565" s="6"/>
      <c r="T565" s="6"/>
      <c r="U565" s="6"/>
      <c r="V565" s="6"/>
      <c r="W565" s="6"/>
      <c r="X565" s="6"/>
      <c r="Y565" s="6"/>
      <c r="Z565" s="6"/>
      <c r="AA565" s="6"/>
    </row>
    <row r="566" spans="1:27" ht="14.25">
      <c r="A566" s="6"/>
      <c r="B566" s="6"/>
      <c r="C566" s="6"/>
      <c r="D566" s="6"/>
      <c r="E566" s="6"/>
      <c r="F566" s="6"/>
      <c r="G566" s="6"/>
      <c r="H566" s="6"/>
      <c r="I566" s="6"/>
      <c r="J566" s="6"/>
      <c r="K566" s="6"/>
      <c r="L566" s="6"/>
      <c r="M566" s="6"/>
      <c r="N566" s="6"/>
      <c r="O566" s="6"/>
      <c r="P566" s="6"/>
      <c r="Q566" s="6"/>
      <c r="R566" s="6"/>
      <c r="S566" s="6"/>
      <c r="T566" s="6"/>
      <c r="U566" s="6"/>
      <c r="V566" s="6"/>
      <c r="W566" s="6"/>
      <c r="X566" s="6"/>
      <c r="Y566" s="6"/>
      <c r="Z566" s="6"/>
      <c r="AA566" s="6"/>
    </row>
    <row r="567" spans="1:27" ht="14.25">
      <c r="A567" s="6"/>
      <c r="B567" s="6"/>
      <c r="C567" s="6"/>
      <c r="D567" s="6"/>
      <c r="E567" s="6"/>
      <c r="F567" s="6"/>
      <c r="G567" s="6"/>
      <c r="H567" s="6"/>
      <c r="I567" s="6"/>
      <c r="J567" s="6"/>
      <c r="K567" s="6"/>
      <c r="L567" s="6"/>
      <c r="M567" s="6"/>
      <c r="N567" s="6"/>
      <c r="O567" s="6"/>
      <c r="P567" s="6"/>
      <c r="Q567" s="6"/>
      <c r="R567" s="6"/>
      <c r="S567" s="6"/>
      <c r="T567" s="6"/>
      <c r="U567" s="6"/>
      <c r="V567" s="6"/>
      <c r="W567" s="6"/>
      <c r="X567" s="6"/>
      <c r="Y567" s="6"/>
      <c r="Z567" s="6"/>
      <c r="AA567" s="6"/>
    </row>
    <row r="568" spans="1:27" ht="14.25">
      <c r="A568" s="6"/>
      <c r="B568" s="6"/>
      <c r="C568" s="6"/>
      <c r="D568" s="6"/>
      <c r="E568" s="6"/>
      <c r="F568" s="6"/>
      <c r="G568" s="6"/>
      <c r="H568" s="6"/>
      <c r="I568" s="6"/>
      <c r="J568" s="6"/>
      <c r="K568" s="6"/>
      <c r="L568" s="6"/>
      <c r="M568" s="6"/>
      <c r="N568" s="6"/>
      <c r="O568" s="6"/>
      <c r="P568" s="6"/>
      <c r="Q568" s="6"/>
      <c r="R568" s="6"/>
      <c r="S568" s="6"/>
      <c r="T568" s="6"/>
      <c r="U568" s="6"/>
      <c r="V568" s="6"/>
      <c r="W568" s="6"/>
      <c r="X568" s="6"/>
      <c r="Y568" s="6"/>
      <c r="Z568" s="6"/>
      <c r="AA568" s="6"/>
    </row>
    <row r="569" spans="1:27" ht="14.25">
      <c r="A569" s="6"/>
      <c r="B569" s="6"/>
      <c r="C569" s="6"/>
      <c r="D569" s="6"/>
      <c r="E569" s="6"/>
      <c r="F569" s="6"/>
      <c r="G569" s="6"/>
      <c r="H569" s="6"/>
      <c r="I569" s="6"/>
      <c r="J569" s="6"/>
      <c r="K569" s="6"/>
      <c r="L569" s="6"/>
      <c r="M569" s="6"/>
      <c r="N569" s="6"/>
      <c r="O569" s="6"/>
      <c r="P569" s="6"/>
      <c r="Q569" s="6"/>
      <c r="R569" s="6"/>
      <c r="S569" s="6"/>
      <c r="T569" s="6"/>
      <c r="U569" s="6"/>
      <c r="V569" s="6"/>
      <c r="W569" s="6"/>
      <c r="X569" s="6"/>
      <c r="Y569" s="6"/>
      <c r="Z569" s="6"/>
      <c r="AA569" s="6"/>
    </row>
    <row r="570" spans="1:27" ht="14.25">
      <c r="A570" s="6"/>
      <c r="B570" s="6"/>
      <c r="C570" s="6"/>
      <c r="D570" s="6"/>
      <c r="E570" s="6"/>
      <c r="F570" s="6"/>
      <c r="G570" s="6"/>
      <c r="H570" s="6"/>
      <c r="I570" s="6"/>
      <c r="J570" s="6"/>
      <c r="K570" s="6"/>
      <c r="L570" s="6"/>
      <c r="M570" s="6"/>
      <c r="N570" s="6"/>
      <c r="O570" s="6"/>
      <c r="P570" s="6"/>
      <c r="Q570" s="6"/>
      <c r="R570" s="6"/>
      <c r="S570" s="6"/>
      <c r="T570" s="6"/>
      <c r="U570" s="6"/>
      <c r="V570" s="6"/>
      <c r="W570" s="6"/>
      <c r="X570" s="6"/>
      <c r="Y570" s="6"/>
      <c r="Z570" s="6"/>
      <c r="AA570" s="6"/>
    </row>
    <row r="571" spans="1:27" ht="14.25">
      <c r="A571" s="6"/>
      <c r="B571" s="6"/>
      <c r="C571" s="6"/>
      <c r="D571" s="6"/>
      <c r="E571" s="6"/>
      <c r="F571" s="6"/>
      <c r="G571" s="6"/>
      <c r="H571" s="6"/>
      <c r="I571" s="6"/>
      <c r="J571" s="6"/>
      <c r="K571" s="6"/>
      <c r="L571" s="6"/>
      <c r="M571" s="6"/>
      <c r="N571" s="6"/>
      <c r="O571" s="6"/>
      <c r="P571" s="6"/>
      <c r="Q571" s="6"/>
      <c r="R571" s="6"/>
      <c r="S571" s="6"/>
      <c r="T571" s="6"/>
      <c r="U571" s="6"/>
      <c r="V571" s="6"/>
      <c r="W571" s="6"/>
      <c r="X571" s="6"/>
      <c r="Y571" s="6"/>
      <c r="Z571" s="6"/>
      <c r="AA571" s="6"/>
    </row>
    <row r="572" spans="1:27" ht="14.25">
      <c r="A572" s="6"/>
      <c r="B572" s="6"/>
      <c r="C572" s="6"/>
      <c r="D572" s="6"/>
      <c r="E572" s="6"/>
      <c r="F572" s="6"/>
      <c r="G572" s="6"/>
      <c r="H572" s="6"/>
      <c r="I572" s="6"/>
      <c r="J572" s="6"/>
      <c r="K572" s="6"/>
      <c r="L572" s="6"/>
      <c r="M572" s="6"/>
      <c r="N572" s="6"/>
      <c r="O572" s="6"/>
      <c r="P572" s="6"/>
      <c r="Q572" s="6"/>
      <c r="R572" s="6"/>
      <c r="S572" s="6"/>
      <c r="T572" s="6"/>
      <c r="U572" s="6"/>
      <c r="V572" s="6"/>
      <c r="W572" s="6"/>
      <c r="X572" s="6"/>
      <c r="Y572" s="6"/>
      <c r="Z572" s="6"/>
      <c r="AA572" s="6"/>
    </row>
    <row r="573" spans="1:27" ht="14.25">
      <c r="A573" s="6"/>
      <c r="B573" s="6"/>
      <c r="C573" s="6"/>
      <c r="D573" s="6"/>
      <c r="E573" s="6"/>
      <c r="F573" s="6"/>
      <c r="G573" s="6"/>
      <c r="H573" s="6"/>
      <c r="I573" s="6"/>
      <c r="J573" s="6"/>
      <c r="K573" s="6"/>
      <c r="L573" s="6"/>
      <c r="M573" s="6"/>
      <c r="N573" s="6"/>
      <c r="O573" s="6"/>
      <c r="P573" s="6"/>
      <c r="Q573" s="6"/>
      <c r="R573" s="6"/>
      <c r="S573" s="6"/>
      <c r="T573" s="6"/>
      <c r="U573" s="6"/>
      <c r="V573" s="6"/>
      <c r="W573" s="6"/>
      <c r="X573" s="6"/>
      <c r="Y573" s="6"/>
      <c r="Z573" s="6"/>
      <c r="AA573" s="6"/>
    </row>
    <row r="574" spans="1:27" ht="14.25">
      <c r="A574" s="6"/>
      <c r="B574" s="6"/>
      <c r="C574" s="6"/>
      <c r="D574" s="6"/>
      <c r="E574" s="6"/>
      <c r="F574" s="6"/>
      <c r="G574" s="6"/>
      <c r="H574" s="6"/>
      <c r="I574" s="6"/>
      <c r="J574" s="6"/>
      <c r="K574" s="6"/>
      <c r="L574" s="6"/>
      <c r="M574" s="6"/>
      <c r="N574" s="6"/>
      <c r="O574" s="6"/>
      <c r="P574" s="6"/>
      <c r="Q574" s="6"/>
      <c r="R574" s="6"/>
      <c r="S574" s="6"/>
      <c r="T574" s="6"/>
      <c r="U574" s="6"/>
      <c r="V574" s="6"/>
      <c r="W574" s="6"/>
      <c r="X574" s="6"/>
      <c r="Y574" s="6"/>
      <c r="Z574" s="6"/>
      <c r="AA574" s="6"/>
    </row>
    <row r="575" spans="1:27" ht="14.25">
      <c r="A575" s="6"/>
      <c r="B575" s="6"/>
      <c r="C575" s="6"/>
      <c r="D575" s="6"/>
      <c r="E575" s="6"/>
      <c r="F575" s="6"/>
      <c r="G575" s="6"/>
      <c r="H575" s="6"/>
      <c r="I575" s="6"/>
      <c r="J575" s="6"/>
      <c r="K575" s="6"/>
      <c r="L575" s="6"/>
      <c r="M575" s="6"/>
      <c r="N575" s="6"/>
      <c r="O575" s="6"/>
      <c r="P575" s="6"/>
      <c r="Q575" s="6"/>
      <c r="R575" s="6"/>
      <c r="S575" s="6"/>
      <c r="T575" s="6"/>
      <c r="U575" s="6"/>
      <c r="V575" s="6"/>
      <c r="W575" s="6"/>
      <c r="X575" s="6"/>
      <c r="Y575" s="6"/>
      <c r="Z575" s="6"/>
      <c r="AA575" s="6"/>
    </row>
    <row r="576" spans="1:27" ht="14.25">
      <c r="A576" s="6"/>
      <c r="B576" s="6"/>
      <c r="C576" s="6"/>
      <c r="D576" s="6"/>
      <c r="E576" s="6"/>
      <c r="F576" s="6"/>
      <c r="G576" s="6"/>
      <c r="H576" s="6"/>
      <c r="I576" s="6"/>
      <c r="J576" s="6"/>
      <c r="K576" s="6"/>
      <c r="L576" s="6"/>
      <c r="M576" s="6"/>
      <c r="N576" s="6"/>
      <c r="O576" s="6"/>
      <c r="P576" s="6"/>
      <c r="Q576" s="6"/>
      <c r="R576" s="6"/>
      <c r="S576" s="6"/>
      <c r="T576" s="6"/>
      <c r="U576" s="6"/>
      <c r="V576" s="6"/>
      <c r="W576" s="6"/>
      <c r="X576" s="6"/>
      <c r="Y576" s="6"/>
      <c r="Z576" s="6"/>
      <c r="AA576" s="6"/>
    </row>
    <row r="577" spans="1:27" ht="14.25">
      <c r="A577" s="6"/>
      <c r="B577" s="6"/>
      <c r="C577" s="6"/>
      <c r="D577" s="6"/>
      <c r="E577" s="6"/>
      <c r="F577" s="6"/>
      <c r="G577" s="6"/>
      <c r="H577" s="6"/>
      <c r="I577" s="6"/>
      <c r="J577" s="6"/>
      <c r="K577" s="6"/>
      <c r="L577" s="6"/>
      <c r="M577" s="6"/>
      <c r="N577" s="6"/>
      <c r="O577" s="6"/>
      <c r="P577" s="6"/>
      <c r="Q577" s="6"/>
      <c r="R577" s="6"/>
      <c r="S577" s="6"/>
      <c r="T577" s="6"/>
      <c r="U577" s="6"/>
      <c r="V577" s="6"/>
      <c r="W577" s="6"/>
      <c r="X577" s="6"/>
      <c r="Y577" s="6"/>
      <c r="Z577" s="6"/>
      <c r="AA577" s="6"/>
    </row>
    <row r="578" spans="1:27" ht="14.25">
      <c r="A578" s="6"/>
      <c r="B578" s="6"/>
      <c r="C578" s="6"/>
      <c r="D578" s="6"/>
      <c r="E578" s="6"/>
      <c r="F578" s="6"/>
      <c r="G578" s="6"/>
      <c r="H578" s="6"/>
      <c r="I578" s="6"/>
      <c r="J578" s="6"/>
      <c r="K578" s="6"/>
      <c r="L578" s="6"/>
      <c r="M578" s="6"/>
      <c r="N578" s="6"/>
      <c r="O578" s="6"/>
      <c r="P578" s="6"/>
      <c r="Q578" s="6"/>
      <c r="R578" s="6"/>
      <c r="S578" s="6"/>
      <c r="T578" s="6"/>
      <c r="U578" s="6"/>
      <c r="V578" s="6"/>
      <c r="W578" s="6"/>
      <c r="X578" s="6"/>
      <c r="Y578" s="6"/>
      <c r="Z578" s="6"/>
      <c r="AA578" s="6"/>
    </row>
    <row r="579" spans="1:27" ht="14.25">
      <c r="A579" s="6"/>
      <c r="B579" s="6"/>
      <c r="C579" s="6"/>
      <c r="D579" s="6"/>
      <c r="E579" s="6"/>
      <c r="F579" s="6"/>
      <c r="G579" s="6"/>
      <c r="H579" s="6"/>
      <c r="I579" s="6"/>
      <c r="J579" s="6"/>
      <c r="K579" s="6"/>
      <c r="L579" s="6"/>
      <c r="M579" s="6"/>
      <c r="N579" s="6"/>
      <c r="O579" s="6"/>
      <c r="P579" s="6"/>
      <c r="Q579" s="6"/>
      <c r="R579" s="6"/>
      <c r="S579" s="6"/>
      <c r="T579" s="6"/>
      <c r="U579" s="6"/>
      <c r="V579" s="6"/>
      <c r="W579" s="6"/>
      <c r="X579" s="6"/>
      <c r="Y579" s="6"/>
      <c r="Z579" s="6"/>
      <c r="AA579" s="6"/>
    </row>
    <row r="580" spans="1:27" ht="14.25">
      <c r="A580" s="6"/>
      <c r="B580" s="6"/>
      <c r="C580" s="6"/>
      <c r="D580" s="6"/>
      <c r="E580" s="6"/>
      <c r="F580" s="6"/>
      <c r="G580" s="6"/>
      <c r="H580" s="6"/>
      <c r="I580" s="6"/>
      <c r="J580" s="6"/>
      <c r="K580" s="6"/>
      <c r="L580" s="6"/>
      <c r="M580" s="6"/>
      <c r="N580" s="6"/>
      <c r="O580" s="6"/>
      <c r="P580" s="6"/>
      <c r="Q580" s="6"/>
      <c r="R580" s="6"/>
      <c r="S580" s="6"/>
      <c r="T580" s="6"/>
      <c r="U580" s="6"/>
      <c r="V580" s="6"/>
      <c r="W580" s="6"/>
      <c r="X580" s="6"/>
      <c r="Y580" s="6"/>
      <c r="Z580" s="6"/>
      <c r="AA580" s="6"/>
    </row>
    <row r="581" spans="1:27" ht="14.25">
      <c r="A581" s="6"/>
      <c r="B581" s="6"/>
      <c r="C581" s="6"/>
      <c r="D581" s="6"/>
      <c r="E581" s="6"/>
      <c r="F581" s="6"/>
      <c r="G581" s="6"/>
      <c r="H581" s="6"/>
      <c r="I581" s="6"/>
      <c r="J581" s="6"/>
      <c r="K581" s="6"/>
      <c r="L581" s="6"/>
      <c r="M581" s="6"/>
      <c r="N581" s="6"/>
      <c r="O581" s="6"/>
      <c r="P581" s="6"/>
      <c r="Q581" s="6"/>
      <c r="R581" s="6"/>
      <c r="S581" s="6"/>
      <c r="T581" s="6"/>
      <c r="U581" s="6"/>
      <c r="V581" s="6"/>
      <c r="W581" s="6"/>
      <c r="X581" s="6"/>
      <c r="Y581" s="6"/>
      <c r="Z581" s="6"/>
      <c r="AA581" s="6"/>
    </row>
    <row r="582" spans="1:27" ht="14.25">
      <c r="A582" s="6"/>
      <c r="B582" s="6"/>
      <c r="C582" s="6"/>
      <c r="D582" s="6"/>
      <c r="E582" s="6"/>
      <c r="F582" s="6"/>
      <c r="G582" s="6"/>
      <c r="H582" s="6"/>
      <c r="I582" s="6"/>
      <c r="J582" s="6"/>
      <c r="K582" s="6"/>
      <c r="L582" s="6"/>
      <c r="M582" s="6"/>
      <c r="N582" s="6"/>
      <c r="O582" s="6"/>
      <c r="P582" s="6"/>
      <c r="Q582" s="6"/>
      <c r="R582" s="6"/>
      <c r="S582" s="6"/>
      <c r="T582" s="6"/>
      <c r="U582" s="6"/>
      <c r="V582" s="6"/>
      <c r="W582" s="6"/>
      <c r="X582" s="6"/>
      <c r="Y582" s="6"/>
      <c r="Z582" s="6"/>
      <c r="AA582" s="6"/>
    </row>
    <row r="583" spans="1:27" ht="14.25">
      <c r="A583" s="6"/>
      <c r="B583" s="6"/>
      <c r="C583" s="6"/>
      <c r="D583" s="6"/>
      <c r="E583" s="6"/>
      <c r="F583" s="6"/>
      <c r="G583" s="6"/>
      <c r="H583" s="6"/>
      <c r="I583" s="6"/>
      <c r="J583" s="6"/>
      <c r="K583" s="6"/>
      <c r="L583" s="6"/>
      <c r="M583" s="6"/>
      <c r="N583" s="6"/>
      <c r="O583" s="6"/>
      <c r="P583" s="6"/>
      <c r="Q583" s="6"/>
      <c r="R583" s="6"/>
      <c r="S583" s="6"/>
      <c r="T583" s="6"/>
      <c r="U583" s="6"/>
      <c r="V583" s="6"/>
      <c r="W583" s="6"/>
      <c r="X583" s="6"/>
      <c r="Y583" s="6"/>
      <c r="Z583" s="6"/>
      <c r="AA583" s="6"/>
    </row>
    <row r="584" spans="1:27" ht="14.25">
      <c r="A584" s="6"/>
      <c r="B584" s="6"/>
      <c r="C584" s="6"/>
      <c r="D584" s="6"/>
      <c r="E584" s="6"/>
      <c r="F584" s="6"/>
      <c r="G584" s="6"/>
      <c r="H584" s="6"/>
      <c r="I584" s="6"/>
      <c r="J584" s="6"/>
      <c r="K584" s="6"/>
      <c r="L584" s="6"/>
      <c r="M584" s="6"/>
      <c r="N584" s="6"/>
      <c r="O584" s="6"/>
      <c r="P584" s="6"/>
      <c r="Q584" s="6"/>
      <c r="R584" s="6"/>
      <c r="S584" s="6"/>
      <c r="T584" s="6"/>
      <c r="U584" s="6"/>
      <c r="V584" s="6"/>
      <c r="W584" s="6"/>
      <c r="X584" s="6"/>
      <c r="Y584" s="6"/>
      <c r="Z584" s="6"/>
      <c r="AA584" s="6"/>
    </row>
    <row r="585" spans="1:27" ht="14.25">
      <c r="A585" s="6"/>
      <c r="B585" s="6"/>
      <c r="C585" s="6"/>
      <c r="D585" s="6"/>
      <c r="E585" s="6"/>
      <c r="F585" s="6"/>
      <c r="G585" s="6"/>
      <c r="H585" s="6"/>
      <c r="I585" s="6"/>
      <c r="J585" s="6"/>
      <c r="K585" s="6"/>
      <c r="L585" s="6"/>
      <c r="M585" s="6"/>
      <c r="N585" s="6"/>
      <c r="O585" s="6"/>
      <c r="P585" s="6"/>
      <c r="Q585" s="6"/>
      <c r="R585" s="6"/>
      <c r="S585" s="6"/>
      <c r="T585" s="6"/>
      <c r="U585" s="6"/>
      <c r="V585" s="6"/>
      <c r="W585" s="6"/>
      <c r="X585" s="6"/>
      <c r="Y585" s="6"/>
      <c r="Z585" s="6"/>
      <c r="AA585" s="6"/>
    </row>
    <row r="586" spans="1:27" ht="14.25">
      <c r="A586" s="6"/>
      <c r="B586" s="6"/>
      <c r="C586" s="6"/>
      <c r="D586" s="6"/>
      <c r="E586" s="6"/>
      <c r="F586" s="6"/>
      <c r="G586" s="6"/>
      <c r="H586" s="6"/>
      <c r="I586" s="6"/>
      <c r="J586" s="6"/>
      <c r="K586" s="6"/>
      <c r="L586" s="6"/>
      <c r="M586" s="6"/>
      <c r="N586" s="6"/>
      <c r="O586" s="6"/>
      <c r="P586" s="6"/>
      <c r="Q586" s="6"/>
      <c r="R586" s="6"/>
      <c r="S586" s="6"/>
      <c r="T586" s="6"/>
      <c r="U586" s="6"/>
      <c r="V586" s="6"/>
      <c r="W586" s="6"/>
      <c r="X586" s="6"/>
      <c r="Y586" s="6"/>
      <c r="Z586" s="6"/>
      <c r="AA586" s="6"/>
    </row>
    <row r="587" spans="1:27" ht="14.25">
      <c r="A587" s="6"/>
      <c r="B587" s="6"/>
      <c r="C587" s="6"/>
      <c r="D587" s="6"/>
      <c r="E587" s="6"/>
      <c r="F587" s="6"/>
      <c r="G587" s="6"/>
      <c r="H587" s="6"/>
      <c r="I587" s="6"/>
      <c r="J587" s="6"/>
      <c r="K587" s="6"/>
      <c r="L587" s="6"/>
      <c r="M587" s="6"/>
      <c r="N587" s="6"/>
      <c r="O587" s="6"/>
      <c r="P587" s="6"/>
      <c r="Q587" s="6"/>
      <c r="R587" s="6"/>
      <c r="S587" s="6"/>
      <c r="T587" s="6"/>
      <c r="U587" s="6"/>
      <c r="V587" s="6"/>
      <c r="W587" s="6"/>
      <c r="X587" s="6"/>
      <c r="Y587" s="6"/>
      <c r="Z587" s="6"/>
      <c r="AA587" s="6"/>
    </row>
    <row r="588" spans="1:27" ht="14.25">
      <c r="A588" s="6"/>
      <c r="B588" s="6"/>
      <c r="C588" s="6"/>
      <c r="D588" s="6"/>
      <c r="E588" s="6"/>
      <c r="F588" s="6"/>
      <c r="G588" s="6"/>
      <c r="H588" s="6"/>
      <c r="I588" s="6"/>
      <c r="J588" s="6"/>
      <c r="K588" s="6"/>
      <c r="L588" s="6"/>
      <c r="M588" s="6"/>
      <c r="N588" s="6"/>
      <c r="O588" s="6"/>
      <c r="P588" s="6"/>
      <c r="Q588" s="6"/>
      <c r="R588" s="6"/>
      <c r="S588" s="6"/>
      <c r="T588" s="6"/>
      <c r="U588" s="6"/>
      <c r="V588" s="6"/>
      <c r="W588" s="6"/>
      <c r="X588" s="6"/>
      <c r="Y588" s="6"/>
      <c r="Z588" s="6"/>
      <c r="AA588" s="6"/>
    </row>
    <row r="589" spans="1:27" ht="14.25">
      <c r="A589" s="6"/>
      <c r="B589" s="6"/>
      <c r="C589" s="6"/>
      <c r="D589" s="6"/>
      <c r="E589" s="6"/>
      <c r="F589" s="6"/>
      <c r="G589" s="6"/>
      <c r="H589" s="6"/>
      <c r="I589" s="6"/>
      <c r="J589" s="6"/>
      <c r="K589" s="6"/>
      <c r="L589" s="6"/>
      <c r="M589" s="6"/>
      <c r="N589" s="6"/>
      <c r="O589" s="6"/>
      <c r="P589" s="6"/>
      <c r="Q589" s="6"/>
      <c r="R589" s="6"/>
      <c r="S589" s="6"/>
      <c r="T589" s="6"/>
      <c r="U589" s="6"/>
      <c r="V589" s="6"/>
      <c r="W589" s="6"/>
      <c r="X589" s="6"/>
      <c r="Y589" s="6"/>
      <c r="Z589" s="6"/>
      <c r="AA589" s="6"/>
    </row>
    <row r="590" spans="1:27" ht="14.25">
      <c r="A590" s="6"/>
      <c r="B590" s="6"/>
      <c r="C590" s="6"/>
      <c r="D590" s="6"/>
      <c r="E590" s="6"/>
      <c r="F590" s="6"/>
      <c r="G590" s="6"/>
      <c r="H590" s="6"/>
      <c r="I590" s="6"/>
      <c r="J590" s="6"/>
      <c r="K590" s="6"/>
      <c r="L590" s="6"/>
      <c r="M590" s="6"/>
      <c r="N590" s="6"/>
      <c r="O590" s="6"/>
      <c r="P590" s="6"/>
      <c r="Q590" s="6"/>
      <c r="R590" s="6"/>
      <c r="S590" s="6"/>
      <c r="T590" s="6"/>
      <c r="U590" s="6"/>
      <c r="V590" s="6"/>
      <c r="W590" s="6"/>
      <c r="X590" s="6"/>
      <c r="Y590" s="6"/>
      <c r="Z590" s="6"/>
      <c r="AA590" s="6"/>
    </row>
    <row r="591" spans="1:27" ht="14.25">
      <c r="A591" s="6"/>
      <c r="B591" s="6"/>
      <c r="C591" s="6"/>
      <c r="D591" s="6"/>
      <c r="E591" s="6"/>
      <c r="F591" s="6"/>
      <c r="G591" s="6"/>
      <c r="H591" s="6"/>
      <c r="I591" s="6"/>
      <c r="J591" s="6"/>
      <c r="K591" s="6"/>
      <c r="L591" s="6"/>
      <c r="M591" s="6"/>
      <c r="N591" s="6"/>
      <c r="O591" s="6"/>
      <c r="P591" s="6"/>
      <c r="Q591" s="6"/>
      <c r="R591" s="6"/>
      <c r="S591" s="6"/>
      <c r="T591" s="6"/>
      <c r="U591" s="6"/>
      <c r="V591" s="6"/>
      <c r="W591" s="6"/>
      <c r="X591" s="6"/>
      <c r="Y591" s="6"/>
      <c r="Z591" s="6"/>
      <c r="AA591" s="6"/>
    </row>
    <row r="592" spans="1:27" ht="14.25">
      <c r="A592" s="6"/>
      <c r="B592" s="6"/>
      <c r="C592" s="6"/>
      <c r="D592" s="6"/>
      <c r="E592" s="6"/>
      <c r="F592" s="6"/>
      <c r="G592" s="6"/>
      <c r="H592" s="6"/>
      <c r="I592" s="6"/>
      <c r="J592" s="6"/>
      <c r="K592" s="6"/>
      <c r="L592" s="6"/>
      <c r="M592" s="6"/>
      <c r="N592" s="6"/>
      <c r="O592" s="6"/>
      <c r="P592" s="6"/>
      <c r="Q592" s="6"/>
      <c r="R592" s="6"/>
      <c r="S592" s="6"/>
      <c r="T592" s="6"/>
      <c r="U592" s="6"/>
      <c r="V592" s="6"/>
      <c r="W592" s="6"/>
      <c r="X592" s="6"/>
      <c r="Y592" s="6"/>
      <c r="Z592" s="6"/>
      <c r="AA592" s="6"/>
    </row>
    <row r="593" spans="1:27" ht="14.25">
      <c r="A593" s="6"/>
      <c r="B593" s="6"/>
      <c r="C593" s="6"/>
      <c r="D593" s="6"/>
      <c r="E593" s="6"/>
      <c r="F593" s="6"/>
      <c r="G593" s="6"/>
      <c r="H593" s="6"/>
      <c r="I593" s="6"/>
      <c r="J593" s="6"/>
      <c r="K593" s="6"/>
      <c r="L593" s="6"/>
      <c r="M593" s="6"/>
      <c r="N593" s="6"/>
      <c r="O593" s="6"/>
      <c r="P593" s="6"/>
      <c r="Q593" s="6"/>
      <c r="R593" s="6"/>
      <c r="S593" s="6"/>
      <c r="T593" s="6"/>
      <c r="U593" s="6"/>
      <c r="V593" s="6"/>
      <c r="W593" s="6"/>
      <c r="X593" s="6"/>
      <c r="Y593" s="6"/>
      <c r="Z593" s="6"/>
      <c r="AA593" s="6"/>
    </row>
    <row r="594" spans="1:27" ht="14.25">
      <c r="A594" s="6"/>
      <c r="B594" s="6"/>
      <c r="C594" s="6"/>
      <c r="D594" s="6"/>
      <c r="E594" s="6"/>
      <c r="F594" s="6"/>
      <c r="G594" s="6"/>
      <c r="H594" s="6"/>
      <c r="I594" s="6"/>
      <c r="J594" s="6"/>
      <c r="K594" s="6"/>
      <c r="L594" s="6"/>
      <c r="M594" s="6"/>
      <c r="N594" s="6"/>
      <c r="O594" s="6"/>
      <c r="P594" s="6"/>
      <c r="Q594" s="6"/>
      <c r="R594" s="6"/>
      <c r="S594" s="6"/>
      <c r="T594" s="6"/>
      <c r="U594" s="6"/>
      <c r="V594" s="6"/>
      <c r="W594" s="6"/>
      <c r="X594" s="6"/>
      <c r="Y594" s="6"/>
      <c r="Z594" s="6"/>
      <c r="AA594" s="6"/>
    </row>
    <row r="595" spans="1:27" ht="14.25">
      <c r="A595" s="6"/>
      <c r="B595" s="6"/>
      <c r="C595" s="6"/>
      <c r="D595" s="6"/>
      <c r="E595" s="6"/>
      <c r="F595" s="6"/>
      <c r="G595" s="6"/>
      <c r="H595" s="6"/>
      <c r="I595" s="6"/>
      <c r="J595" s="6"/>
      <c r="K595" s="6"/>
      <c r="L595" s="6"/>
      <c r="M595" s="6"/>
      <c r="N595" s="6"/>
      <c r="O595" s="6"/>
      <c r="P595" s="6"/>
      <c r="Q595" s="6"/>
      <c r="R595" s="6"/>
      <c r="S595" s="6"/>
      <c r="T595" s="6"/>
      <c r="U595" s="6"/>
      <c r="V595" s="6"/>
      <c r="W595" s="6"/>
      <c r="X595" s="6"/>
      <c r="Y595" s="6"/>
      <c r="Z595" s="6"/>
      <c r="AA595" s="6"/>
    </row>
    <row r="596" spans="1:27" ht="14.25">
      <c r="A596" s="6"/>
      <c r="B596" s="6"/>
      <c r="C596" s="6"/>
      <c r="D596" s="6"/>
      <c r="E596" s="6"/>
      <c r="F596" s="6"/>
      <c r="G596" s="6"/>
      <c r="H596" s="6"/>
      <c r="I596" s="6"/>
      <c r="J596" s="6"/>
      <c r="K596" s="6"/>
      <c r="L596" s="6"/>
      <c r="M596" s="6"/>
      <c r="N596" s="6"/>
      <c r="O596" s="6"/>
      <c r="P596" s="6"/>
      <c r="Q596" s="6"/>
      <c r="R596" s="6"/>
      <c r="S596" s="6"/>
      <c r="T596" s="6"/>
      <c r="U596" s="6"/>
      <c r="V596" s="6"/>
      <c r="W596" s="6"/>
      <c r="X596" s="6"/>
      <c r="Y596" s="6"/>
      <c r="Z596" s="6"/>
      <c r="AA596" s="6"/>
    </row>
    <row r="597" spans="1:27" ht="14.25">
      <c r="A597" s="6"/>
      <c r="B597" s="6"/>
      <c r="C597" s="6"/>
      <c r="D597" s="6"/>
      <c r="E597" s="6"/>
      <c r="F597" s="6"/>
      <c r="G597" s="6"/>
      <c r="H597" s="6"/>
      <c r="I597" s="6"/>
      <c r="J597" s="6"/>
      <c r="K597" s="6"/>
      <c r="L597" s="6"/>
      <c r="M597" s="6"/>
      <c r="N597" s="6"/>
      <c r="O597" s="6"/>
      <c r="P597" s="6"/>
      <c r="Q597" s="6"/>
      <c r="R597" s="6"/>
      <c r="S597" s="6"/>
      <c r="T597" s="6"/>
      <c r="U597" s="6"/>
      <c r="V597" s="6"/>
      <c r="W597" s="6"/>
      <c r="X597" s="6"/>
      <c r="Y597" s="6"/>
      <c r="Z597" s="6"/>
      <c r="AA597" s="6"/>
    </row>
    <row r="598" spans="1:27" ht="14.25">
      <c r="A598" s="6"/>
      <c r="B598" s="6"/>
      <c r="C598" s="6"/>
      <c r="D598" s="6"/>
      <c r="E598" s="6"/>
      <c r="F598" s="6"/>
      <c r="G598" s="6"/>
      <c r="H598" s="6"/>
      <c r="I598" s="6"/>
      <c r="J598" s="6"/>
      <c r="K598" s="6"/>
      <c r="L598" s="6"/>
      <c r="M598" s="6"/>
      <c r="N598" s="6"/>
      <c r="O598" s="6"/>
      <c r="P598" s="6"/>
      <c r="Q598" s="6"/>
      <c r="R598" s="6"/>
      <c r="S598" s="6"/>
      <c r="T598" s="6"/>
      <c r="U598" s="6"/>
      <c r="V598" s="6"/>
      <c r="W598" s="6"/>
      <c r="X598" s="6"/>
      <c r="Y598" s="6"/>
      <c r="Z598" s="6"/>
      <c r="AA598" s="6"/>
    </row>
    <row r="599" spans="1:27" ht="14.25">
      <c r="A599" s="6"/>
      <c r="B599" s="6"/>
      <c r="C599" s="6"/>
      <c r="D599" s="6"/>
      <c r="E599" s="6"/>
      <c r="F599" s="6"/>
      <c r="G599" s="6"/>
      <c r="H599" s="6"/>
      <c r="I599" s="6"/>
      <c r="J599" s="6"/>
      <c r="K599" s="6"/>
      <c r="L599" s="6"/>
      <c r="M599" s="6"/>
      <c r="N599" s="6"/>
      <c r="O599" s="6"/>
      <c r="P599" s="6"/>
      <c r="Q599" s="6"/>
      <c r="R599" s="6"/>
      <c r="S599" s="6"/>
      <c r="T599" s="6"/>
      <c r="U599" s="6"/>
      <c r="V599" s="6"/>
      <c r="W599" s="6"/>
      <c r="X599" s="6"/>
      <c r="Y599" s="6"/>
      <c r="Z599" s="6"/>
      <c r="AA599" s="6"/>
    </row>
    <row r="600" spans="1:27" ht="14.25">
      <c r="A600" s="6"/>
      <c r="B600" s="6"/>
      <c r="C600" s="6"/>
      <c r="D600" s="6"/>
      <c r="E600" s="6"/>
      <c r="F600" s="6"/>
      <c r="G600" s="6"/>
      <c r="H600" s="6"/>
      <c r="I600" s="6"/>
      <c r="J600" s="6"/>
      <c r="K600" s="6"/>
      <c r="L600" s="6"/>
      <c r="M600" s="6"/>
      <c r="N600" s="6"/>
      <c r="O600" s="6"/>
      <c r="P600" s="6"/>
      <c r="Q600" s="6"/>
      <c r="R600" s="6"/>
      <c r="S600" s="6"/>
      <c r="T600" s="6"/>
      <c r="U600" s="6"/>
      <c r="V600" s="6"/>
      <c r="W600" s="6"/>
      <c r="X600" s="6"/>
      <c r="Y600" s="6"/>
      <c r="Z600" s="6"/>
      <c r="AA600" s="6"/>
    </row>
    <row r="601" spans="1:27" ht="14.25">
      <c r="A601" s="6"/>
      <c r="B601" s="6"/>
      <c r="C601" s="6"/>
      <c r="D601" s="6"/>
      <c r="E601" s="6"/>
      <c r="F601" s="6"/>
      <c r="G601" s="6"/>
      <c r="H601" s="6"/>
      <c r="I601" s="6"/>
      <c r="J601" s="6"/>
      <c r="K601" s="6"/>
      <c r="L601" s="6"/>
      <c r="M601" s="6"/>
      <c r="N601" s="6"/>
      <c r="O601" s="6"/>
      <c r="P601" s="6"/>
      <c r="Q601" s="6"/>
      <c r="R601" s="6"/>
      <c r="S601" s="6"/>
      <c r="T601" s="6"/>
      <c r="U601" s="6"/>
      <c r="V601" s="6"/>
      <c r="W601" s="6"/>
      <c r="X601" s="6"/>
      <c r="Y601" s="6"/>
      <c r="Z601" s="6"/>
      <c r="AA601" s="6"/>
    </row>
    <row r="602" spans="1:27" ht="14.25">
      <c r="A602" s="6"/>
      <c r="B602" s="6"/>
      <c r="C602" s="6"/>
      <c r="D602" s="6"/>
      <c r="E602" s="6"/>
      <c r="F602" s="6"/>
      <c r="G602" s="6"/>
      <c r="H602" s="6"/>
      <c r="I602" s="6"/>
      <c r="J602" s="6"/>
      <c r="K602" s="6"/>
      <c r="L602" s="6"/>
      <c r="M602" s="6"/>
      <c r="N602" s="6"/>
      <c r="O602" s="6"/>
      <c r="P602" s="6"/>
      <c r="Q602" s="6"/>
      <c r="R602" s="6"/>
      <c r="S602" s="6"/>
      <c r="T602" s="6"/>
      <c r="U602" s="6"/>
      <c r="V602" s="6"/>
      <c r="W602" s="6"/>
      <c r="X602" s="6"/>
      <c r="Y602" s="6"/>
      <c r="Z602" s="6"/>
      <c r="AA602" s="6"/>
    </row>
    <row r="603" spans="1:27" ht="14.25">
      <c r="A603" s="6"/>
      <c r="B603" s="6"/>
      <c r="C603" s="6"/>
      <c r="D603" s="6"/>
      <c r="E603" s="6"/>
      <c r="F603" s="6"/>
      <c r="G603" s="6"/>
      <c r="H603" s="6"/>
      <c r="I603" s="6"/>
      <c r="J603" s="6"/>
      <c r="K603" s="6"/>
      <c r="L603" s="6"/>
      <c r="M603" s="6"/>
      <c r="N603" s="6"/>
      <c r="O603" s="6"/>
      <c r="P603" s="6"/>
      <c r="Q603" s="6"/>
      <c r="R603" s="6"/>
      <c r="S603" s="6"/>
      <c r="T603" s="6"/>
      <c r="U603" s="6"/>
      <c r="V603" s="6"/>
      <c r="W603" s="6"/>
      <c r="X603" s="6"/>
      <c r="Y603" s="6"/>
      <c r="Z603" s="6"/>
      <c r="AA603" s="6"/>
    </row>
    <row r="604" spans="1:27" ht="14.25">
      <c r="A604" s="6"/>
      <c r="B604" s="6"/>
      <c r="C604" s="6"/>
      <c r="D604" s="6"/>
      <c r="E604" s="6"/>
      <c r="F604" s="6"/>
      <c r="G604" s="6"/>
      <c r="H604" s="6"/>
      <c r="I604" s="6"/>
      <c r="J604" s="6"/>
      <c r="K604" s="6"/>
      <c r="L604" s="6"/>
      <c r="M604" s="6"/>
      <c r="N604" s="6"/>
      <c r="O604" s="6"/>
      <c r="P604" s="6"/>
      <c r="Q604" s="6"/>
      <c r="R604" s="6"/>
      <c r="S604" s="6"/>
      <c r="T604" s="6"/>
      <c r="U604" s="6"/>
      <c r="V604" s="6"/>
      <c r="W604" s="6"/>
      <c r="X604" s="6"/>
      <c r="Y604" s="6"/>
      <c r="Z604" s="6"/>
      <c r="AA604" s="6"/>
    </row>
    <row r="605" spans="1:27" ht="14.25">
      <c r="A605" s="6"/>
      <c r="B605" s="6"/>
      <c r="C605" s="6"/>
      <c r="D605" s="6"/>
      <c r="E605" s="6"/>
      <c r="F605" s="6"/>
      <c r="G605" s="6"/>
      <c r="H605" s="6"/>
      <c r="I605" s="6"/>
      <c r="J605" s="6"/>
      <c r="K605" s="6"/>
      <c r="L605" s="6"/>
      <c r="M605" s="6"/>
      <c r="N605" s="6"/>
      <c r="O605" s="6"/>
      <c r="P605" s="6"/>
      <c r="Q605" s="6"/>
      <c r="R605" s="6"/>
      <c r="S605" s="6"/>
      <c r="T605" s="6"/>
      <c r="U605" s="6"/>
      <c r="V605" s="6"/>
      <c r="W605" s="6"/>
      <c r="X605" s="6"/>
      <c r="Y605" s="6"/>
      <c r="Z605" s="6"/>
      <c r="AA605" s="6"/>
    </row>
    <row r="606" spans="1:27" ht="14.25">
      <c r="A606" s="6"/>
      <c r="B606" s="6"/>
      <c r="C606" s="6"/>
      <c r="D606" s="6"/>
      <c r="E606" s="6"/>
      <c r="F606" s="6"/>
      <c r="G606" s="6"/>
      <c r="H606" s="6"/>
      <c r="I606" s="6"/>
      <c r="J606" s="6"/>
      <c r="K606" s="6"/>
      <c r="L606" s="6"/>
      <c r="M606" s="6"/>
      <c r="N606" s="6"/>
      <c r="O606" s="6"/>
      <c r="P606" s="6"/>
      <c r="Q606" s="6"/>
      <c r="R606" s="6"/>
      <c r="S606" s="6"/>
      <c r="T606" s="6"/>
      <c r="U606" s="6"/>
      <c r="V606" s="6"/>
      <c r="W606" s="6"/>
      <c r="X606" s="6"/>
      <c r="Y606" s="6"/>
      <c r="Z606" s="6"/>
      <c r="AA606" s="6"/>
    </row>
    <row r="607" spans="1:27" ht="14.25">
      <c r="A607" s="6"/>
      <c r="B607" s="6"/>
      <c r="C607" s="6"/>
      <c r="D607" s="6"/>
      <c r="E607" s="6"/>
      <c r="F607" s="6"/>
      <c r="G607" s="6"/>
      <c r="H607" s="6"/>
      <c r="I607" s="6"/>
      <c r="J607" s="6"/>
      <c r="K607" s="6"/>
      <c r="L607" s="6"/>
      <c r="M607" s="6"/>
      <c r="N607" s="6"/>
      <c r="O607" s="6"/>
      <c r="P607" s="6"/>
      <c r="Q607" s="6"/>
      <c r="R607" s="6"/>
      <c r="S607" s="6"/>
      <c r="T607" s="6"/>
      <c r="U607" s="6"/>
      <c r="V607" s="6"/>
      <c r="W607" s="6"/>
      <c r="X607" s="6"/>
      <c r="Y607" s="6"/>
      <c r="Z607" s="6"/>
      <c r="AA607" s="6"/>
    </row>
    <row r="608" spans="1:27" ht="14.25">
      <c r="A608" s="6"/>
      <c r="B608" s="6"/>
      <c r="C608" s="6"/>
      <c r="D608" s="6"/>
      <c r="E608" s="6"/>
      <c r="F608" s="6"/>
      <c r="G608" s="6"/>
      <c r="H608" s="6"/>
      <c r="I608" s="6"/>
      <c r="J608" s="6"/>
      <c r="K608" s="6"/>
      <c r="L608" s="6"/>
      <c r="M608" s="6"/>
      <c r="N608" s="6"/>
      <c r="O608" s="6"/>
      <c r="P608" s="6"/>
      <c r="Q608" s="6"/>
      <c r="R608" s="6"/>
      <c r="S608" s="6"/>
      <c r="T608" s="6"/>
      <c r="U608" s="6"/>
      <c r="V608" s="6"/>
      <c r="W608" s="6"/>
      <c r="X608" s="6"/>
      <c r="Y608" s="6"/>
      <c r="Z608" s="6"/>
      <c r="AA608" s="6"/>
    </row>
    <row r="609" spans="1:27" ht="14.25">
      <c r="A609" s="6"/>
      <c r="B609" s="6"/>
      <c r="C609" s="6"/>
      <c r="D609" s="6"/>
      <c r="E609" s="6"/>
      <c r="F609" s="6"/>
      <c r="G609" s="6"/>
      <c r="H609" s="6"/>
      <c r="I609" s="6"/>
      <c r="J609" s="6"/>
      <c r="K609" s="6"/>
      <c r="L609" s="6"/>
      <c r="M609" s="6"/>
      <c r="N609" s="6"/>
      <c r="O609" s="6"/>
      <c r="P609" s="6"/>
      <c r="Q609" s="6"/>
      <c r="R609" s="6"/>
      <c r="S609" s="6"/>
      <c r="T609" s="6"/>
      <c r="U609" s="6"/>
      <c r="V609" s="6"/>
      <c r="W609" s="6"/>
      <c r="X609" s="6"/>
      <c r="Y609" s="6"/>
      <c r="Z609" s="6"/>
      <c r="AA609" s="6"/>
    </row>
    <row r="610" spans="1:27" ht="14.25">
      <c r="A610" s="6"/>
      <c r="B610" s="6"/>
      <c r="C610" s="6"/>
      <c r="D610" s="6"/>
      <c r="E610" s="6"/>
      <c r="F610" s="6"/>
      <c r="G610" s="6"/>
      <c r="H610" s="6"/>
      <c r="I610" s="6"/>
      <c r="J610" s="6"/>
      <c r="K610" s="6"/>
      <c r="L610" s="6"/>
      <c r="M610" s="6"/>
      <c r="N610" s="6"/>
      <c r="O610" s="6"/>
      <c r="P610" s="6"/>
      <c r="Q610" s="6"/>
      <c r="R610" s="6"/>
      <c r="S610" s="6"/>
      <c r="T610" s="6"/>
      <c r="U610" s="6"/>
      <c r="V610" s="6"/>
      <c r="W610" s="6"/>
      <c r="X610" s="6"/>
      <c r="Y610" s="6"/>
      <c r="Z610" s="6"/>
      <c r="AA610" s="6"/>
    </row>
    <row r="611" spans="1:27" ht="14.25">
      <c r="A611" s="6"/>
      <c r="B611" s="6"/>
      <c r="C611" s="6"/>
      <c r="D611" s="6"/>
      <c r="E611" s="6"/>
      <c r="F611" s="6"/>
      <c r="G611" s="6"/>
      <c r="H611" s="6"/>
      <c r="I611" s="6"/>
      <c r="J611" s="6"/>
      <c r="K611" s="6"/>
      <c r="L611" s="6"/>
      <c r="M611" s="6"/>
      <c r="N611" s="6"/>
      <c r="O611" s="6"/>
      <c r="P611" s="6"/>
      <c r="Q611" s="6"/>
      <c r="R611" s="6"/>
      <c r="S611" s="6"/>
      <c r="T611" s="6"/>
      <c r="U611" s="6"/>
      <c r="V611" s="6"/>
      <c r="W611" s="6"/>
      <c r="X611" s="6"/>
      <c r="Y611" s="6"/>
      <c r="Z611" s="6"/>
      <c r="AA611" s="6"/>
    </row>
    <row r="612" spans="1:27" ht="14.25">
      <c r="A612" s="6"/>
      <c r="B612" s="6"/>
      <c r="C612" s="6"/>
      <c r="D612" s="6"/>
      <c r="E612" s="6"/>
      <c r="F612" s="6"/>
      <c r="G612" s="6"/>
      <c r="H612" s="6"/>
      <c r="I612" s="6"/>
      <c r="J612" s="6"/>
      <c r="K612" s="6"/>
      <c r="L612" s="6"/>
      <c r="M612" s="6"/>
      <c r="N612" s="6"/>
      <c r="O612" s="6"/>
      <c r="P612" s="6"/>
      <c r="Q612" s="6"/>
      <c r="R612" s="6"/>
      <c r="S612" s="6"/>
      <c r="T612" s="6"/>
      <c r="U612" s="6"/>
      <c r="V612" s="6"/>
      <c r="W612" s="6"/>
      <c r="X612" s="6"/>
      <c r="Y612" s="6"/>
      <c r="Z612" s="6"/>
      <c r="AA612" s="6"/>
    </row>
    <row r="613" spans="1:27" ht="14.25">
      <c r="A613" s="6"/>
      <c r="B613" s="6"/>
      <c r="C613" s="6"/>
      <c r="D613" s="6"/>
      <c r="E613" s="6"/>
      <c r="F613" s="6"/>
      <c r="G613" s="6"/>
      <c r="H613" s="6"/>
      <c r="I613" s="6"/>
      <c r="J613" s="6"/>
      <c r="K613" s="6"/>
      <c r="L613" s="6"/>
      <c r="M613" s="6"/>
      <c r="N613" s="6"/>
      <c r="O613" s="6"/>
      <c r="P613" s="6"/>
      <c r="Q613" s="6"/>
      <c r="R613" s="6"/>
      <c r="S613" s="6"/>
      <c r="T613" s="6"/>
      <c r="U613" s="6"/>
      <c r="V613" s="6"/>
      <c r="W613" s="6"/>
      <c r="X613" s="6"/>
      <c r="Y613" s="6"/>
      <c r="Z613" s="6"/>
      <c r="AA613" s="6"/>
    </row>
    <row r="614" spans="1:27" ht="14.25">
      <c r="A614" s="6"/>
      <c r="B614" s="6"/>
      <c r="C614" s="6"/>
      <c r="D614" s="6"/>
      <c r="E614" s="6"/>
      <c r="F614" s="6"/>
      <c r="G614" s="6"/>
      <c r="H614" s="6"/>
      <c r="I614" s="6"/>
      <c r="J614" s="6"/>
      <c r="K614" s="6"/>
      <c r="L614" s="6"/>
      <c r="M614" s="6"/>
      <c r="N614" s="6"/>
      <c r="O614" s="6"/>
      <c r="P614" s="6"/>
      <c r="Q614" s="6"/>
      <c r="R614" s="6"/>
      <c r="S614" s="6"/>
      <c r="T614" s="6"/>
      <c r="U614" s="6"/>
      <c r="V614" s="6"/>
      <c r="W614" s="6"/>
      <c r="X614" s="6"/>
      <c r="Y614" s="6"/>
      <c r="Z614" s="6"/>
      <c r="AA614" s="6"/>
    </row>
    <row r="615" spans="1:27" ht="14.25">
      <c r="A615" s="6"/>
      <c r="B615" s="6"/>
      <c r="C615" s="6"/>
      <c r="D615" s="6"/>
      <c r="E615" s="6"/>
      <c r="F615" s="6"/>
      <c r="G615" s="6"/>
      <c r="H615" s="6"/>
      <c r="I615" s="6"/>
      <c r="J615" s="6"/>
      <c r="K615" s="6"/>
      <c r="L615" s="6"/>
      <c r="M615" s="6"/>
      <c r="N615" s="6"/>
      <c r="O615" s="6"/>
      <c r="P615" s="6"/>
      <c r="Q615" s="6"/>
      <c r="R615" s="6"/>
      <c r="S615" s="6"/>
      <c r="T615" s="6"/>
      <c r="U615" s="6"/>
      <c r="V615" s="6"/>
      <c r="W615" s="6"/>
      <c r="X615" s="6"/>
      <c r="Y615" s="6"/>
      <c r="Z615" s="6"/>
      <c r="AA615" s="6"/>
    </row>
    <row r="616" spans="1:27" ht="14.25">
      <c r="A616" s="6"/>
      <c r="B616" s="6"/>
      <c r="C616" s="6"/>
      <c r="D616" s="6"/>
      <c r="E616" s="6"/>
      <c r="F616" s="6"/>
      <c r="G616" s="6"/>
      <c r="H616" s="6"/>
      <c r="I616" s="6"/>
      <c r="J616" s="6"/>
      <c r="K616" s="6"/>
      <c r="L616" s="6"/>
      <c r="M616" s="6"/>
      <c r="N616" s="6"/>
      <c r="O616" s="6"/>
      <c r="P616" s="6"/>
      <c r="Q616" s="6"/>
      <c r="R616" s="6"/>
      <c r="S616" s="6"/>
      <c r="T616" s="6"/>
      <c r="U616" s="6"/>
      <c r="V616" s="6"/>
      <c r="W616" s="6"/>
      <c r="X616" s="6"/>
      <c r="Y616" s="6"/>
      <c r="Z616" s="6"/>
      <c r="AA616" s="6"/>
    </row>
    <row r="617" spans="1:27" ht="14.25">
      <c r="A617" s="6"/>
      <c r="B617" s="6"/>
      <c r="C617" s="6"/>
      <c r="D617" s="6"/>
      <c r="E617" s="6"/>
      <c r="F617" s="6"/>
      <c r="G617" s="6"/>
      <c r="H617" s="6"/>
      <c r="I617" s="6"/>
      <c r="J617" s="6"/>
      <c r="K617" s="6"/>
      <c r="L617" s="6"/>
      <c r="M617" s="6"/>
      <c r="N617" s="6"/>
      <c r="O617" s="6"/>
      <c r="P617" s="6"/>
      <c r="Q617" s="6"/>
      <c r="R617" s="6"/>
      <c r="S617" s="6"/>
      <c r="T617" s="6"/>
      <c r="U617" s="6"/>
      <c r="V617" s="6"/>
      <c r="W617" s="6"/>
      <c r="X617" s="6"/>
      <c r="Y617" s="6"/>
      <c r="Z617" s="6"/>
      <c r="AA617" s="6"/>
    </row>
    <row r="618" spans="1:27" ht="14.25">
      <c r="A618" s="6"/>
      <c r="B618" s="6"/>
      <c r="C618" s="6"/>
      <c r="D618" s="6"/>
      <c r="E618" s="6"/>
      <c r="F618" s="6"/>
      <c r="G618" s="6"/>
      <c r="H618" s="6"/>
      <c r="I618" s="6"/>
      <c r="J618" s="6"/>
      <c r="K618" s="6"/>
      <c r="L618" s="6"/>
      <c r="M618" s="6"/>
      <c r="N618" s="6"/>
      <c r="O618" s="6"/>
      <c r="P618" s="6"/>
      <c r="Q618" s="6"/>
      <c r="R618" s="6"/>
      <c r="S618" s="6"/>
      <c r="T618" s="6"/>
      <c r="U618" s="6"/>
      <c r="V618" s="6"/>
      <c r="W618" s="6"/>
      <c r="X618" s="6"/>
      <c r="Y618" s="6"/>
      <c r="Z618" s="6"/>
      <c r="AA618" s="6"/>
    </row>
    <row r="619" spans="1:27" ht="14.25">
      <c r="A619" s="6"/>
      <c r="B619" s="6"/>
      <c r="C619" s="6"/>
      <c r="D619" s="6"/>
      <c r="E619" s="6"/>
      <c r="F619" s="6"/>
      <c r="G619" s="6"/>
      <c r="H619" s="6"/>
      <c r="I619" s="6"/>
      <c r="J619" s="6"/>
      <c r="K619" s="6"/>
      <c r="L619" s="6"/>
      <c r="M619" s="6"/>
      <c r="N619" s="6"/>
      <c r="O619" s="6"/>
      <c r="P619" s="6"/>
      <c r="Q619" s="6"/>
      <c r="R619" s="6"/>
      <c r="S619" s="6"/>
      <c r="T619" s="6"/>
      <c r="U619" s="6"/>
      <c r="V619" s="6"/>
      <c r="W619" s="6"/>
      <c r="X619" s="6"/>
      <c r="Y619" s="6"/>
      <c r="Z619" s="6"/>
      <c r="AA619" s="6"/>
    </row>
    <row r="620" spans="1:27" ht="14.25">
      <c r="A620" s="6"/>
      <c r="B620" s="6"/>
      <c r="C620" s="6"/>
      <c r="D620" s="6"/>
      <c r="E620" s="6"/>
      <c r="F620" s="6"/>
      <c r="G620" s="6"/>
      <c r="H620" s="6"/>
      <c r="I620" s="6"/>
      <c r="J620" s="6"/>
      <c r="K620" s="6"/>
      <c r="L620" s="6"/>
      <c r="M620" s="6"/>
      <c r="N620" s="6"/>
      <c r="O620" s="6"/>
      <c r="P620" s="6"/>
      <c r="Q620" s="6"/>
      <c r="R620" s="6"/>
      <c r="S620" s="6"/>
      <c r="T620" s="6"/>
      <c r="U620" s="6"/>
      <c r="V620" s="6"/>
      <c r="W620" s="6"/>
      <c r="X620" s="6"/>
      <c r="Y620" s="6"/>
      <c r="Z620" s="6"/>
      <c r="AA620" s="6"/>
    </row>
    <row r="621" spans="1:27" ht="14.25">
      <c r="A621" s="6"/>
      <c r="B621" s="6"/>
      <c r="C621" s="6"/>
      <c r="D621" s="6"/>
      <c r="E621" s="6"/>
      <c r="F621" s="6"/>
      <c r="G621" s="6"/>
      <c r="H621" s="6"/>
      <c r="I621" s="6"/>
      <c r="J621" s="6"/>
      <c r="K621" s="6"/>
      <c r="L621" s="6"/>
      <c r="M621" s="6"/>
      <c r="N621" s="6"/>
      <c r="O621" s="6"/>
      <c r="P621" s="6"/>
      <c r="Q621" s="6"/>
      <c r="R621" s="6"/>
      <c r="S621" s="6"/>
      <c r="T621" s="6"/>
      <c r="U621" s="6"/>
      <c r="V621" s="6"/>
      <c r="W621" s="6"/>
      <c r="X621" s="6"/>
      <c r="Y621" s="6"/>
      <c r="Z621" s="6"/>
      <c r="AA621" s="6"/>
    </row>
    <row r="622" spans="1:27" ht="14.25">
      <c r="A622" s="6"/>
      <c r="B622" s="6"/>
      <c r="C622" s="6"/>
      <c r="D622" s="6"/>
      <c r="E622" s="6"/>
      <c r="F622" s="6"/>
      <c r="G622" s="6"/>
      <c r="H622" s="6"/>
      <c r="I622" s="6"/>
      <c r="J622" s="6"/>
      <c r="K622" s="6"/>
      <c r="L622" s="6"/>
      <c r="M622" s="6"/>
      <c r="N622" s="6"/>
      <c r="O622" s="6"/>
      <c r="P622" s="6"/>
      <c r="Q622" s="6"/>
      <c r="R622" s="6"/>
      <c r="S622" s="6"/>
      <c r="T622" s="6"/>
      <c r="U622" s="6"/>
      <c r="V622" s="6"/>
      <c r="W622" s="6"/>
      <c r="X622" s="6"/>
      <c r="Y622" s="6"/>
      <c r="Z622" s="6"/>
      <c r="AA622" s="6"/>
    </row>
    <row r="623" spans="1:27" ht="14.25">
      <c r="A623" s="6"/>
      <c r="B623" s="6"/>
      <c r="C623" s="6"/>
      <c r="D623" s="6"/>
      <c r="E623" s="6"/>
      <c r="F623" s="6"/>
      <c r="G623" s="6"/>
      <c r="H623" s="6"/>
      <c r="I623" s="6"/>
      <c r="J623" s="6"/>
      <c r="K623" s="6"/>
      <c r="L623" s="6"/>
      <c r="M623" s="6"/>
      <c r="N623" s="6"/>
      <c r="O623" s="6"/>
      <c r="P623" s="6"/>
      <c r="Q623" s="6"/>
      <c r="R623" s="6"/>
      <c r="S623" s="6"/>
      <c r="T623" s="6"/>
      <c r="U623" s="6"/>
      <c r="V623" s="6"/>
      <c r="W623" s="6"/>
      <c r="X623" s="6"/>
      <c r="Y623" s="6"/>
      <c r="Z623" s="6"/>
      <c r="AA623" s="6"/>
    </row>
    <row r="624" spans="1:27" ht="14.25">
      <c r="A624" s="6"/>
      <c r="B624" s="6"/>
      <c r="C624" s="6"/>
      <c r="D624" s="6"/>
      <c r="E624" s="6"/>
      <c r="F624" s="6"/>
      <c r="G624" s="6"/>
      <c r="H624" s="6"/>
      <c r="I624" s="6"/>
      <c r="J624" s="6"/>
      <c r="K624" s="6"/>
      <c r="L624" s="6"/>
      <c r="M624" s="6"/>
      <c r="N624" s="6"/>
      <c r="O624" s="6"/>
      <c r="P624" s="6"/>
      <c r="Q624" s="6"/>
      <c r="R624" s="6"/>
      <c r="S624" s="6"/>
      <c r="T624" s="6"/>
      <c r="U624" s="6"/>
      <c r="V624" s="6"/>
      <c r="W624" s="6"/>
      <c r="X624" s="6"/>
      <c r="Y624" s="6"/>
      <c r="Z624" s="6"/>
      <c r="AA624" s="6"/>
    </row>
    <row r="625" spans="1:27" ht="14.25">
      <c r="A625" s="6"/>
      <c r="B625" s="6"/>
      <c r="C625" s="6"/>
      <c r="D625" s="6"/>
      <c r="E625" s="6"/>
      <c r="F625" s="6"/>
      <c r="G625" s="6"/>
      <c r="H625" s="6"/>
      <c r="I625" s="6"/>
      <c r="J625" s="6"/>
      <c r="K625" s="6"/>
      <c r="L625" s="6"/>
      <c r="M625" s="6"/>
      <c r="N625" s="6"/>
      <c r="O625" s="6"/>
      <c r="P625" s="6"/>
      <c r="Q625" s="6"/>
      <c r="R625" s="6"/>
      <c r="S625" s="6"/>
      <c r="T625" s="6"/>
      <c r="U625" s="6"/>
      <c r="V625" s="6"/>
      <c r="W625" s="6"/>
      <c r="X625" s="6"/>
      <c r="Y625" s="6"/>
      <c r="Z625" s="6"/>
      <c r="AA625" s="6"/>
    </row>
    <row r="626" spans="1:27" ht="14.25">
      <c r="A626" s="6"/>
      <c r="B626" s="6"/>
      <c r="C626" s="6"/>
      <c r="D626" s="6"/>
      <c r="E626" s="6"/>
      <c r="F626" s="6"/>
      <c r="G626" s="6"/>
      <c r="H626" s="6"/>
      <c r="I626" s="6"/>
      <c r="J626" s="6"/>
      <c r="K626" s="6"/>
      <c r="L626" s="6"/>
      <c r="M626" s="6"/>
      <c r="N626" s="6"/>
      <c r="O626" s="6"/>
      <c r="P626" s="6"/>
      <c r="Q626" s="6"/>
      <c r="R626" s="6"/>
      <c r="S626" s="6"/>
      <c r="T626" s="6"/>
      <c r="U626" s="6"/>
      <c r="V626" s="6"/>
      <c r="W626" s="6"/>
      <c r="X626" s="6"/>
      <c r="Y626" s="6"/>
      <c r="Z626" s="6"/>
      <c r="AA626" s="6"/>
    </row>
    <row r="627" spans="1:27" ht="14.25">
      <c r="A627" s="6"/>
      <c r="B627" s="6"/>
      <c r="C627" s="6"/>
      <c r="D627" s="6"/>
      <c r="E627" s="6"/>
      <c r="F627" s="6"/>
      <c r="G627" s="6"/>
      <c r="H627" s="6"/>
      <c r="I627" s="6"/>
      <c r="J627" s="6"/>
      <c r="K627" s="6"/>
      <c r="L627" s="6"/>
      <c r="M627" s="6"/>
      <c r="N627" s="6"/>
      <c r="O627" s="6"/>
      <c r="P627" s="6"/>
      <c r="Q627" s="6"/>
      <c r="R627" s="6"/>
      <c r="S627" s="6"/>
      <c r="T627" s="6"/>
      <c r="U627" s="6"/>
      <c r="V627" s="6"/>
      <c r="W627" s="6"/>
      <c r="X627" s="6"/>
      <c r="Y627" s="6"/>
      <c r="Z627" s="6"/>
      <c r="AA627" s="6"/>
    </row>
    <row r="628" spans="1:27" ht="14.25">
      <c r="A628" s="6"/>
      <c r="B628" s="6"/>
      <c r="C628" s="6"/>
      <c r="D628" s="6"/>
      <c r="E628" s="6"/>
      <c r="F628" s="6"/>
      <c r="G628" s="6"/>
      <c r="H628" s="6"/>
      <c r="I628" s="6"/>
      <c r="J628" s="6"/>
      <c r="K628" s="6"/>
      <c r="L628" s="6"/>
      <c r="M628" s="6"/>
      <c r="N628" s="6"/>
      <c r="O628" s="6"/>
      <c r="P628" s="6"/>
      <c r="Q628" s="6"/>
      <c r="R628" s="6"/>
      <c r="S628" s="6"/>
      <c r="T628" s="6"/>
      <c r="U628" s="6"/>
      <c r="V628" s="6"/>
      <c r="W628" s="6"/>
      <c r="X628" s="6"/>
      <c r="Y628" s="6"/>
      <c r="Z628" s="6"/>
      <c r="AA628" s="6"/>
    </row>
    <row r="629" spans="1:27" ht="14.25">
      <c r="A629" s="6"/>
      <c r="B629" s="6"/>
      <c r="C629" s="6"/>
      <c r="D629" s="6"/>
      <c r="E629" s="6"/>
      <c r="F629" s="6"/>
      <c r="G629" s="6"/>
      <c r="H629" s="6"/>
      <c r="I629" s="6"/>
      <c r="J629" s="6"/>
      <c r="K629" s="6"/>
      <c r="L629" s="6"/>
      <c r="M629" s="6"/>
      <c r="N629" s="6"/>
      <c r="O629" s="6"/>
      <c r="P629" s="6"/>
      <c r="Q629" s="6"/>
      <c r="R629" s="6"/>
      <c r="S629" s="6"/>
      <c r="T629" s="6"/>
      <c r="U629" s="6"/>
      <c r="V629" s="6"/>
      <c r="W629" s="6"/>
      <c r="X629" s="6"/>
      <c r="Y629" s="6"/>
      <c r="Z629" s="6"/>
      <c r="AA629" s="6"/>
    </row>
    <row r="630" spans="1:27" ht="14.25">
      <c r="A630" s="6"/>
      <c r="B630" s="6"/>
      <c r="C630" s="6"/>
      <c r="D630" s="6"/>
      <c r="E630" s="6"/>
      <c r="F630" s="6"/>
      <c r="G630" s="6"/>
      <c r="H630" s="6"/>
      <c r="I630" s="6"/>
      <c r="J630" s="6"/>
      <c r="K630" s="6"/>
      <c r="L630" s="6"/>
      <c r="M630" s="6"/>
      <c r="N630" s="6"/>
      <c r="O630" s="6"/>
      <c r="P630" s="6"/>
      <c r="Q630" s="6"/>
      <c r="R630" s="6"/>
      <c r="S630" s="6"/>
      <c r="T630" s="6"/>
      <c r="U630" s="6"/>
      <c r="V630" s="6"/>
      <c r="W630" s="6"/>
      <c r="X630" s="6"/>
      <c r="Y630" s="6"/>
      <c r="Z630" s="6"/>
      <c r="AA630" s="6"/>
    </row>
    <row r="631" spans="1:27" ht="14.25">
      <c r="A631" s="6"/>
      <c r="B631" s="6"/>
      <c r="C631" s="6"/>
      <c r="D631" s="6"/>
      <c r="E631" s="6"/>
      <c r="F631" s="6"/>
      <c r="G631" s="6"/>
      <c r="H631" s="6"/>
      <c r="I631" s="6"/>
      <c r="J631" s="6"/>
      <c r="K631" s="6"/>
      <c r="L631" s="6"/>
      <c r="M631" s="6"/>
      <c r="N631" s="6"/>
      <c r="O631" s="6"/>
      <c r="P631" s="6"/>
      <c r="Q631" s="6"/>
      <c r="R631" s="6"/>
      <c r="S631" s="6"/>
      <c r="T631" s="6"/>
      <c r="U631" s="6"/>
      <c r="V631" s="6"/>
      <c r="W631" s="6"/>
      <c r="X631" s="6"/>
      <c r="Y631" s="6"/>
      <c r="Z631" s="6"/>
      <c r="AA631" s="6"/>
    </row>
    <row r="632" spans="1:27" ht="14.25">
      <c r="A632" s="6"/>
      <c r="B632" s="6"/>
      <c r="C632" s="6"/>
      <c r="D632" s="6"/>
      <c r="E632" s="6"/>
      <c r="F632" s="6"/>
      <c r="G632" s="6"/>
      <c r="H632" s="6"/>
      <c r="I632" s="6"/>
      <c r="J632" s="6"/>
      <c r="K632" s="6"/>
      <c r="L632" s="6"/>
      <c r="M632" s="6"/>
      <c r="N632" s="6"/>
      <c r="O632" s="6"/>
      <c r="P632" s="6"/>
      <c r="Q632" s="6"/>
      <c r="R632" s="6"/>
      <c r="S632" s="6"/>
      <c r="T632" s="6"/>
      <c r="U632" s="6"/>
      <c r="V632" s="6"/>
      <c r="W632" s="6"/>
      <c r="X632" s="6"/>
      <c r="Y632" s="6"/>
      <c r="Z632" s="6"/>
      <c r="AA632" s="6"/>
    </row>
    <row r="633" spans="1:27" ht="14.25">
      <c r="A633" s="6"/>
      <c r="B633" s="6"/>
      <c r="C633" s="6"/>
      <c r="D633" s="6"/>
      <c r="E633" s="6"/>
      <c r="F633" s="6"/>
      <c r="G633" s="6"/>
      <c r="H633" s="6"/>
      <c r="I633" s="6"/>
      <c r="J633" s="6"/>
      <c r="K633" s="6"/>
      <c r="L633" s="6"/>
      <c r="M633" s="6"/>
      <c r="N633" s="6"/>
      <c r="O633" s="6"/>
      <c r="P633" s="6"/>
      <c r="Q633" s="6"/>
      <c r="R633" s="6"/>
      <c r="S633" s="6"/>
      <c r="T633" s="6"/>
      <c r="U633" s="6"/>
      <c r="V633" s="6"/>
      <c r="W633" s="6"/>
      <c r="X633" s="6"/>
      <c r="Y633" s="6"/>
      <c r="Z633" s="6"/>
      <c r="AA633" s="6"/>
    </row>
    <row r="634" spans="1:27" ht="14.25">
      <c r="A634" s="6"/>
      <c r="B634" s="6"/>
      <c r="C634" s="6"/>
      <c r="D634" s="6"/>
      <c r="E634" s="6"/>
      <c r="F634" s="6"/>
      <c r="G634" s="6"/>
      <c r="H634" s="6"/>
      <c r="I634" s="6"/>
      <c r="J634" s="6"/>
      <c r="K634" s="6"/>
      <c r="L634" s="6"/>
      <c r="M634" s="6"/>
      <c r="N634" s="6"/>
      <c r="O634" s="6"/>
      <c r="P634" s="6"/>
      <c r="Q634" s="6"/>
      <c r="R634" s="6"/>
      <c r="S634" s="6"/>
      <c r="T634" s="6"/>
      <c r="U634" s="6"/>
      <c r="V634" s="6"/>
      <c r="W634" s="6"/>
      <c r="X634" s="6"/>
      <c r="Y634" s="6"/>
      <c r="Z634" s="6"/>
      <c r="AA634" s="6"/>
    </row>
    <row r="635" spans="1:27" ht="14.25">
      <c r="A635" s="6"/>
      <c r="B635" s="6"/>
      <c r="C635" s="6"/>
      <c r="D635" s="6"/>
      <c r="E635" s="6"/>
      <c r="F635" s="6"/>
      <c r="G635" s="6"/>
      <c r="H635" s="6"/>
      <c r="I635" s="6"/>
      <c r="J635" s="6"/>
      <c r="K635" s="6"/>
      <c r="L635" s="6"/>
      <c r="M635" s="6"/>
      <c r="N635" s="6"/>
      <c r="O635" s="6"/>
      <c r="P635" s="6"/>
      <c r="Q635" s="6"/>
      <c r="R635" s="6"/>
      <c r="S635" s="6"/>
      <c r="T635" s="6"/>
      <c r="U635" s="6"/>
      <c r="V635" s="6"/>
      <c r="W635" s="6"/>
      <c r="X635" s="6"/>
      <c r="Y635" s="6"/>
      <c r="Z635" s="6"/>
      <c r="AA635" s="6"/>
    </row>
    <row r="636" spans="1:27" ht="14.25">
      <c r="A636" s="6"/>
      <c r="B636" s="6"/>
      <c r="C636" s="6"/>
      <c r="D636" s="6"/>
      <c r="E636" s="6"/>
      <c r="F636" s="6"/>
      <c r="G636" s="6"/>
      <c r="H636" s="6"/>
      <c r="I636" s="6"/>
      <c r="J636" s="6"/>
      <c r="K636" s="6"/>
      <c r="L636" s="6"/>
      <c r="M636" s="6"/>
      <c r="N636" s="6"/>
      <c r="O636" s="6"/>
      <c r="P636" s="6"/>
      <c r="Q636" s="6"/>
      <c r="R636" s="6"/>
      <c r="S636" s="6"/>
      <c r="T636" s="6"/>
      <c r="U636" s="6"/>
      <c r="V636" s="6"/>
      <c r="W636" s="6"/>
      <c r="X636" s="6"/>
      <c r="Y636" s="6"/>
      <c r="Z636" s="6"/>
      <c r="AA636" s="6"/>
    </row>
    <row r="637" spans="1:27" ht="14.25">
      <c r="A637" s="6"/>
      <c r="B637" s="6"/>
      <c r="C637" s="6"/>
      <c r="D637" s="6"/>
      <c r="E637" s="6"/>
      <c r="F637" s="6"/>
      <c r="G637" s="6"/>
      <c r="H637" s="6"/>
      <c r="I637" s="6"/>
      <c r="J637" s="6"/>
      <c r="K637" s="6"/>
      <c r="L637" s="6"/>
      <c r="M637" s="6"/>
      <c r="N637" s="6"/>
      <c r="O637" s="6"/>
      <c r="P637" s="6"/>
      <c r="Q637" s="6"/>
      <c r="R637" s="6"/>
      <c r="S637" s="6"/>
      <c r="T637" s="6"/>
      <c r="U637" s="6"/>
      <c r="V637" s="6"/>
      <c r="W637" s="6"/>
      <c r="X637" s="6"/>
      <c r="Y637" s="6"/>
      <c r="Z637" s="6"/>
      <c r="AA637" s="6"/>
    </row>
    <row r="638" spans="1:27" ht="14.25">
      <c r="A638" s="6"/>
      <c r="B638" s="6"/>
      <c r="C638" s="6"/>
      <c r="D638" s="6"/>
      <c r="E638" s="6"/>
      <c r="F638" s="6"/>
      <c r="G638" s="6"/>
      <c r="H638" s="6"/>
      <c r="I638" s="6"/>
      <c r="J638" s="6"/>
      <c r="K638" s="6"/>
      <c r="L638" s="6"/>
      <c r="M638" s="6"/>
      <c r="N638" s="6"/>
      <c r="O638" s="6"/>
      <c r="P638" s="6"/>
      <c r="Q638" s="6"/>
      <c r="R638" s="6"/>
      <c r="S638" s="6"/>
      <c r="T638" s="6"/>
      <c r="U638" s="6"/>
      <c r="V638" s="6"/>
      <c r="W638" s="6"/>
      <c r="X638" s="6"/>
      <c r="Y638" s="6"/>
      <c r="Z638" s="6"/>
      <c r="AA638" s="6"/>
    </row>
    <row r="639" spans="1:27" ht="14.25">
      <c r="A639" s="6"/>
      <c r="B639" s="6"/>
      <c r="C639" s="6"/>
      <c r="D639" s="6"/>
      <c r="E639" s="6"/>
      <c r="F639" s="6"/>
      <c r="G639" s="6"/>
      <c r="H639" s="6"/>
      <c r="I639" s="6"/>
      <c r="J639" s="6"/>
      <c r="K639" s="6"/>
      <c r="L639" s="6"/>
      <c r="M639" s="6"/>
      <c r="N639" s="6"/>
      <c r="O639" s="6"/>
      <c r="P639" s="6"/>
      <c r="Q639" s="6"/>
      <c r="R639" s="6"/>
      <c r="S639" s="6"/>
      <c r="T639" s="6"/>
      <c r="U639" s="6"/>
      <c r="V639" s="6"/>
      <c r="W639" s="6"/>
      <c r="X639" s="6"/>
      <c r="Y639" s="6"/>
      <c r="Z639" s="6"/>
      <c r="AA639" s="6"/>
    </row>
    <row r="640" spans="1:27" ht="14.25">
      <c r="A640" s="6"/>
      <c r="B640" s="6"/>
      <c r="C640" s="6"/>
      <c r="D640" s="6"/>
      <c r="E640" s="6"/>
      <c r="F640" s="6"/>
      <c r="G640" s="6"/>
      <c r="H640" s="6"/>
      <c r="I640" s="6"/>
      <c r="J640" s="6"/>
      <c r="K640" s="6"/>
      <c r="L640" s="6"/>
      <c r="M640" s="6"/>
      <c r="N640" s="6"/>
      <c r="O640" s="6"/>
      <c r="P640" s="6"/>
      <c r="Q640" s="6"/>
      <c r="R640" s="6"/>
      <c r="S640" s="6"/>
      <c r="T640" s="6"/>
      <c r="U640" s="6"/>
      <c r="V640" s="6"/>
      <c r="W640" s="6"/>
      <c r="X640" s="6"/>
      <c r="Y640" s="6"/>
      <c r="Z640" s="6"/>
      <c r="AA640" s="6"/>
    </row>
    <row r="641" spans="1:27" ht="14.25">
      <c r="A641" s="6"/>
      <c r="B641" s="6"/>
      <c r="C641" s="6"/>
      <c r="D641" s="6"/>
      <c r="E641" s="6"/>
      <c r="F641" s="6"/>
      <c r="G641" s="6"/>
      <c r="H641" s="6"/>
      <c r="I641" s="6"/>
      <c r="J641" s="6"/>
      <c r="K641" s="6"/>
      <c r="L641" s="6"/>
      <c r="M641" s="6"/>
      <c r="N641" s="6"/>
      <c r="O641" s="6"/>
      <c r="P641" s="6"/>
      <c r="Q641" s="6"/>
      <c r="R641" s="6"/>
      <c r="S641" s="6"/>
      <c r="T641" s="6"/>
      <c r="U641" s="6"/>
      <c r="V641" s="6"/>
      <c r="W641" s="6"/>
      <c r="X641" s="6"/>
      <c r="Y641" s="6"/>
      <c r="Z641" s="6"/>
      <c r="AA641" s="6"/>
    </row>
    <row r="642" spans="1:27" ht="14.25">
      <c r="A642" s="6"/>
      <c r="B642" s="6"/>
      <c r="C642" s="6"/>
      <c r="D642" s="6"/>
      <c r="E642" s="6"/>
      <c r="F642" s="6"/>
      <c r="G642" s="6"/>
      <c r="H642" s="6"/>
      <c r="I642" s="6"/>
      <c r="J642" s="6"/>
      <c r="K642" s="6"/>
      <c r="L642" s="6"/>
      <c r="M642" s="6"/>
      <c r="N642" s="6"/>
      <c r="O642" s="6"/>
      <c r="P642" s="6"/>
      <c r="Q642" s="6"/>
      <c r="R642" s="6"/>
      <c r="S642" s="6"/>
      <c r="T642" s="6"/>
      <c r="U642" s="6"/>
      <c r="V642" s="6"/>
      <c r="W642" s="6"/>
      <c r="X642" s="6"/>
      <c r="Y642" s="6"/>
      <c r="Z642" s="6"/>
      <c r="AA642" s="6"/>
    </row>
    <row r="643" spans="1:27" ht="14.25">
      <c r="A643" s="6"/>
      <c r="B643" s="6"/>
      <c r="C643" s="6"/>
      <c r="D643" s="6"/>
      <c r="E643" s="6"/>
      <c r="F643" s="6"/>
      <c r="G643" s="6"/>
      <c r="H643" s="6"/>
      <c r="I643" s="6"/>
      <c r="J643" s="6"/>
      <c r="K643" s="6"/>
      <c r="L643" s="6"/>
      <c r="M643" s="6"/>
      <c r="N643" s="6"/>
      <c r="O643" s="6"/>
      <c r="P643" s="6"/>
      <c r="Q643" s="6"/>
      <c r="R643" s="6"/>
      <c r="S643" s="6"/>
      <c r="T643" s="6"/>
      <c r="U643" s="6"/>
      <c r="V643" s="6"/>
      <c r="W643" s="6"/>
      <c r="X643" s="6"/>
      <c r="Y643" s="6"/>
      <c r="Z643" s="6"/>
      <c r="AA643" s="6"/>
    </row>
    <row r="644" spans="1:27" ht="14.25">
      <c r="A644" s="6"/>
      <c r="B644" s="6"/>
      <c r="C644" s="6"/>
      <c r="D644" s="6"/>
      <c r="E644" s="6"/>
      <c r="F644" s="6"/>
      <c r="G644" s="6"/>
      <c r="H644" s="6"/>
      <c r="I644" s="6"/>
      <c r="J644" s="6"/>
      <c r="K644" s="6"/>
      <c r="L644" s="6"/>
      <c r="M644" s="6"/>
      <c r="N644" s="6"/>
      <c r="O644" s="6"/>
      <c r="P644" s="6"/>
      <c r="Q644" s="6"/>
      <c r="R644" s="6"/>
      <c r="S644" s="6"/>
      <c r="T644" s="6"/>
      <c r="U644" s="6"/>
      <c r="V644" s="6"/>
      <c r="W644" s="6"/>
      <c r="X644" s="6"/>
      <c r="Y644" s="6"/>
      <c r="Z644" s="6"/>
      <c r="AA644" s="6"/>
    </row>
    <row r="645" spans="1:27" ht="14.25">
      <c r="A645" s="6"/>
      <c r="B645" s="6"/>
      <c r="C645" s="6"/>
      <c r="D645" s="6"/>
      <c r="E645" s="6"/>
      <c r="F645" s="6"/>
      <c r="G645" s="6"/>
      <c r="H645" s="6"/>
      <c r="I645" s="6"/>
      <c r="J645" s="6"/>
      <c r="K645" s="6"/>
      <c r="L645" s="6"/>
      <c r="M645" s="6"/>
      <c r="N645" s="6"/>
      <c r="O645" s="6"/>
      <c r="P645" s="6"/>
      <c r="Q645" s="6"/>
      <c r="R645" s="6"/>
      <c r="S645" s="6"/>
      <c r="T645" s="6"/>
      <c r="U645" s="6"/>
      <c r="V645" s="6"/>
      <c r="W645" s="6"/>
      <c r="X645" s="6"/>
      <c r="Y645" s="6"/>
      <c r="Z645" s="6"/>
      <c r="AA645" s="6"/>
    </row>
    <row r="646" spans="1:27" ht="14.25">
      <c r="A646" s="6"/>
      <c r="B646" s="6"/>
      <c r="C646" s="6"/>
      <c r="D646" s="6"/>
      <c r="E646" s="6"/>
      <c r="F646" s="6"/>
      <c r="G646" s="6"/>
      <c r="H646" s="6"/>
      <c r="I646" s="6"/>
      <c r="J646" s="6"/>
      <c r="K646" s="6"/>
      <c r="L646" s="6"/>
      <c r="M646" s="6"/>
      <c r="N646" s="6"/>
      <c r="O646" s="6"/>
      <c r="P646" s="6"/>
      <c r="Q646" s="6"/>
      <c r="R646" s="6"/>
      <c r="S646" s="6"/>
      <c r="T646" s="6"/>
      <c r="U646" s="6"/>
      <c r="V646" s="6"/>
      <c r="W646" s="6"/>
      <c r="X646" s="6"/>
      <c r="Y646" s="6"/>
      <c r="Z646" s="6"/>
      <c r="AA646" s="6"/>
    </row>
    <row r="647" spans="1:27" ht="14.25">
      <c r="A647" s="6"/>
      <c r="B647" s="6"/>
      <c r="C647" s="6"/>
      <c r="D647" s="6"/>
      <c r="E647" s="6"/>
      <c r="F647" s="6"/>
      <c r="G647" s="6"/>
      <c r="H647" s="6"/>
      <c r="I647" s="6"/>
      <c r="J647" s="6"/>
      <c r="K647" s="6"/>
      <c r="L647" s="6"/>
      <c r="M647" s="6"/>
      <c r="N647" s="6"/>
      <c r="O647" s="6"/>
      <c r="P647" s="6"/>
      <c r="Q647" s="6"/>
      <c r="R647" s="6"/>
      <c r="S647" s="6"/>
      <c r="T647" s="6"/>
      <c r="U647" s="6"/>
      <c r="V647" s="6"/>
      <c r="W647" s="6"/>
      <c r="X647" s="6"/>
      <c r="Y647" s="6"/>
      <c r="Z647" s="6"/>
      <c r="AA647" s="6"/>
    </row>
    <row r="648" spans="1:27" ht="14.25">
      <c r="A648" s="6"/>
      <c r="B648" s="6"/>
      <c r="C648" s="6"/>
      <c r="D648" s="6"/>
      <c r="E648" s="6"/>
      <c r="F648" s="6"/>
      <c r="G648" s="6"/>
      <c r="H648" s="6"/>
      <c r="I648" s="6"/>
      <c r="J648" s="6"/>
      <c r="K648" s="6"/>
      <c r="L648" s="6"/>
      <c r="M648" s="6"/>
      <c r="N648" s="6"/>
      <c r="O648" s="6"/>
      <c r="P648" s="6"/>
      <c r="Q648" s="6"/>
      <c r="R648" s="6"/>
      <c r="S648" s="6"/>
      <c r="T648" s="6"/>
      <c r="U648" s="6"/>
      <c r="V648" s="6"/>
      <c r="W648" s="6"/>
      <c r="X648" s="6"/>
      <c r="Y648" s="6"/>
      <c r="Z648" s="6"/>
      <c r="AA648" s="6"/>
    </row>
    <row r="649" spans="1:27" ht="14.25">
      <c r="A649" s="6"/>
      <c r="B649" s="6"/>
      <c r="C649" s="6"/>
      <c r="D649" s="6"/>
      <c r="E649" s="6"/>
      <c r="F649" s="6"/>
      <c r="G649" s="6"/>
      <c r="H649" s="6"/>
      <c r="I649" s="6"/>
      <c r="J649" s="6"/>
      <c r="K649" s="6"/>
      <c r="L649" s="6"/>
      <c r="M649" s="6"/>
      <c r="N649" s="6"/>
      <c r="O649" s="6"/>
      <c r="P649" s="6"/>
      <c r="Q649" s="6"/>
      <c r="R649" s="6"/>
      <c r="S649" s="6"/>
      <c r="T649" s="6"/>
      <c r="U649" s="6"/>
      <c r="V649" s="6"/>
      <c r="W649" s="6"/>
      <c r="X649" s="6"/>
      <c r="Y649" s="6"/>
      <c r="Z649" s="6"/>
      <c r="AA649" s="6"/>
    </row>
    <row r="650" spans="1:27" ht="14.25">
      <c r="A650" s="6"/>
      <c r="B650" s="6"/>
      <c r="C650" s="6"/>
      <c r="D650" s="6"/>
      <c r="E650" s="6"/>
      <c r="F650" s="6"/>
      <c r="G650" s="6"/>
      <c r="H650" s="6"/>
      <c r="I650" s="6"/>
      <c r="J650" s="6"/>
      <c r="K650" s="6"/>
      <c r="L650" s="6"/>
      <c r="M650" s="6"/>
      <c r="N650" s="6"/>
      <c r="O650" s="6"/>
      <c r="P650" s="6"/>
      <c r="Q650" s="6"/>
      <c r="R650" s="6"/>
      <c r="S650" s="6"/>
      <c r="T650" s="6"/>
      <c r="U650" s="6"/>
      <c r="V650" s="6"/>
      <c r="W650" s="6"/>
      <c r="X650" s="6"/>
      <c r="Y650" s="6"/>
      <c r="Z650" s="6"/>
      <c r="AA650" s="6"/>
    </row>
    <row r="651" spans="1:27" ht="14.25">
      <c r="A651" s="6"/>
      <c r="B651" s="6"/>
      <c r="C651" s="6"/>
      <c r="D651" s="6"/>
      <c r="E651" s="6"/>
      <c r="F651" s="6"/>
      <c r="G651" s="6"/>
      <c r="H651" s="6"/>
      <c r="I651" s="6"/>
      <c r="J651" s="6"/>
      <c r="K651" s="6"/>
      <c r="L651" s="6"/>
      <c r="M651" s="6"/>
      <c r="N651" s="6"/>
      <c r="O651" s="6"/>
      <c r="P651" s="6"/>
      <c r="Q651" s="6"/>
      <c r="R651" s="6"/>
      <c r="S651" s="6"/>
      <c r="T651" s="6"/>
      <c r="U651" s="6"/>
      <c r="V651" s="6"/>
      <c r="W651" s="6"/>
      <c r="X651" s="6"/>
      <c r="Y651" s="6"/>
      <c r="Z651" s="6"/>
      <c r="AA651" s="6"/>
    </row>
    <row r="652" spans="1:27" ht="14.25">
      <c r="A652" s="6"/>
      <c r="B652" s="6"/>
      <c r="C652" s="6"/>
      <c r="D652" s="6"/>
      <c r="E652" s="6"/>
      <c r="F652" s="6"/>
      <c r="G652" s="6"/>
      <c r="H652" s="6"/>
      <c r="I652" s="6"/>
      <c r="J652" s="6"/>
      <c r="K652" s="6"/>
      <c r="L652" s="6"/>
      <c r="M652" s="6"/>
      <c r="N652" s="6"/>
      <c r="O652" s="6"/>
      <c r="P652" s="6"/>
      <c r="Q652" s="6"/>
      <c r="R652" s="6"/>
      <c r="S652" s="6"/>
      <c r="T652" s="6"/>
      <c r="U652" s="6"/>
      <c r="V652" s="6"/>
      <c r="W652" s="6"/>
      <c r="X652" s="6"/>
      <c r="Y652" s="6"/>
      <c r="Z652" s="6"/>
      <c r="AA652" s="6"/>
    </row>
    <row r="653" spans="1:27" ht="14.25">
      <c r="A653" s="6"/>
      <c r="B653" s="6"/>
      <c r="C653" s="6"/>
      <c r="D653" s="6"/>
      <c r="E653" s="6"/>
      <c r="F653" s="6"/>
      <c r="G653" s="6"/>
      <c r="H653" s="6"/>
      <c r="I653" s="6"/>
      <c r="J653" s="6"/>
      <c r="K653" s="6"/>
      <c r="L653" s="6"/>
      <c r="M653" s="6"/>
      <c r="N653" s="6"/>
      <c r="O653" s="6"/>
      <c r="P653" s="6"/>
      <c r="Q653" s="6"/>
      <c r="R653" s="6"/>
      <c r="S653" s="6"/>
      <c r="T653" s="6"/>
      <c r="U653" s="6"/>
      <c r="V653" s="6"/>
      <c r="W653" s="6"/>
      <c r="X653" s="6"/>
      <c r="Y653" s="6"/>
      <c r="Z653" s="6"/>
      <c r="AA653" s="6"/>
    </row>
    <row r="654" spans="1:27" ht="14.25">
      <c r="A654" s="6"/>
      <c r="B654" s="6"/>
      <c r="C654" s="6"/>
      <c r="D654" s="6"/>
      <c r="E654" s="6"/>
      <c r="F654" s="6"/>
      <c r="G654" s="6"/>
      <c r="H654" s="6"/>
      <c r="I654" s="6"/>
      <c r="J654" s="6"/>
      <c r="K654" s="6"/>
      <c r="L654" s="6"/>
      <c r="M654" s="6"/>
      <c r="N654" s="6"/>
      <c r="O654" s="6"/>
      <c r="P654" s="6"/>
      <c r="Q654" s="6"/>
      <c r="R654" s="6"/>
      <c r="S654" s="6"/>
      <c r="T654" s="6"/>
      <c r="U654" s="6"/>
      <c r="V654" s="6"/>
      <c r="W654" s="6"/>
      <c r="X654" s="6"/>
      <c r="Y654" s="6"/>
      <c r="Z654" s="6"/>
      <c r="AA654" s="6"/>
    </row>
    <row r="655" spans="1:27" ht="14.25">
      <c r="A655" s="6"/>
      <c r="B655" s="6"/>
      <c r="C655" s="6"/>
      <c r="D655" s="6"/>
      <c r="E655" s="6"/>
      <c r="F655" s="6"/>
      <c r="G655" s="6"/>
      <c r="H655" s="6"/>
      <c r="I655" s="6"/>
      <c r="J655" s="6"/>
      <c r="K655" s="6"/>
      <c r="L655" s="6"/>
      <c r="M655" s="6"/>
      <c r="N655" s="6"/>
      <c r="O655" s="6"/>
      <c r="P655" s="6"/>
      <c r="Q655" s="6"/>
      <c r="R655" s="6"/>
      <c r="S655" s="6"/>
      <c r="T655" s="6"/>
      <c r="U655" s="6"/>
      <c r="V655" s="6"/>
      <c r="W655" s="6"/>
      <c r="X655" s="6"/>
      <c r="Y655" s="6"/>
      <c r="Z655" s="6"/>
      <c r="AA655" s="6"/>
    </row>
    <row r="656" spans="1:27" ht="14.25">
      <c r="A656" s="6"/>
      <c r="B656" s="6"/>
      <c r="C656" s="6"/>
      <c r="D656" s="6"/>
      <c r="E656" s="6"/>
      <c r="F656" s="6"/>
      <c r="G656" s="6"/>
      <c r="H656" s="6"/>
      <c r="I656" s="6"/>
      <c r="J656" s="6"/>
      <c r="K656" s="6"/>
      <c r="L656" s="6"/>
      <c r="M656" s="6"/>
      <c r="N656" s="6"/>
      <c r="O656" s="6"/>
      <c r="P656" s="6"/>
      <c r="Q656" s="6"/>
      <c r="R656" s="6"/>
      <c r="S656" s="6"/>
      <c r="T656" s="6"/>
      <c r="U656" s="6"/>
      <c r="V656" s="6"/>
      <c r="W656" s="6"/>
      <c r="X656" s="6"/>
      <c r="Y656" s="6"/>
      <c r="Z656" s="6"/>
      <c r="AA656" s="6"/>
    </row>
    <row r="657" spans="1:27" ht="14.25">
      <c r="A657" s="6"/>
      <c r="B657" s="6"/>
      <c r="C657" s="6"/>
      <c r="D657" s="6"/>
      <c r="E657" s="6"/>
      <c r="F657" s="6"/>
      <c r="G657" s="6"/>
      <c r="H657" s="6"/>
      <c r="I657" s="6"/>
      <c r="J657" s="6"/>
      <c r="K657" s="6"/>
      <c r="L657" s="6"/>
      <c r="M657" s="6"/>
      <c r="N657" s="6"/>
      <c r="O657" s="6"/>
      <c r="P657" s="6"/>
      <c r="Q657" s="6"/>
      <c r="R657" s="6"/>
      <c r="S657" s="6"/>
      <c r="T657" s="6"/>
      <c r="U657" s="6"/>
      <c r="V657" s="6"/>
      <c r="W657" s="6"/>
      <c r="X657" s="6"/>
      <c r="Y657" s="6"/>
      <c r="Z657" s="6"/>
      <c r="AA657" s="6"/>
    </row>
    <row r="658" spans="1:27" ht="14.25">
      <c r="A658" s="6"/>
      <c r="B658" s="6"/>
      <c r="C658" s="6"/>
      <c r="D658" s="6"/>
      <c r="E658" s="6"/>
      <c r="F658" s="6"/>
      <c r="G658" s="6"/>
      <c r="H658" s="6"/>
      <c r="I658" s="6"/>
      <c r="J658" s="6"/>
      <c r="K658" s="6"/>
      <c r="L658" s="6"/>
      <c r="M658" s="6"/>
      <c r="N658" s="6"/>
      <c r="O658" s="6"/>
      <c r="P658" s="6"/>
      <c r="Q658" s="6"/>
      <c r="R658" s="6"/>
      <c r="S658" s="6"/>
      <c r="T658" s="6"/>
      <c r="U658" s="6"/>
      <c r="V658" s="6"/>
      <c r="W658" s="6"/>
      <c r="X658" s="6"/>
      <c r="Y658" s="6"/>
      <c r="Z658" s="6"/>
      <c r="AA658" s="6"/>
    </row>
    <row r="659" spans="1:27" ht="14.25">
      <c r="A659" s="6"/>
      <c r="B659" s="6"/>
      <c r="C659" s="6"/>
      <c r="D659" s="6"/>
      <c r="E659" s="6"/>
      <c r="F659" s="6"/>
      <c r="G659" s="6"/>
      <c r="H659" s="6"/>
      <c r="I659" s="6"/>
      <c r="J659" s="6"/>
      <c r="K659" s="6"/>
      <c r="L659" s="6"/>
      <c r="M659" s="6"/>
      <c r="N659" s="6"/>
      <c r="O659" s="6"/>
      <c r="P659" s="6"/>
      <c r="Q659" s="6"/>
      <c r="R659" s="6"/>
      <c r="S659" s="6"/>
      <c r="T659" s="6"/>
      <c r="U659" s="6"/>
      <c r="V659" s="6"/>
      <c r="W659" s="6"/>
      <c r="X659" s="6"/>
      <c r="Y659" s="6"/>
      <c r="Z659" s="6"/>
      <c r="AA659" s="6"/>
    </row>
    <row r="660" spans="1:27" ht="14.25">
      <c r="A660" s="6"/>
      <c r="B660" s="6"/>
      <c r="C660" s="6"/>
      <c r="D660" s="6"/>
      <c r="E660" s="6"/>
      <c r="F660" s="6"/>
      <c r="G660" s="6"/>
      <c r="H660" s="6"/>
      <c r="I660" s="6"/>
      <c r="J660" s="6"/>
      <c r="K660" s="6"/>
      <c r="L660" s="6"/>
      <c r="M660" s="6"/>
      <c r="N660" s="6"/>
      <c r="O660" s="6"/>
      <c r="P660" s="6"/>
      <c r="Q660" s="6"/>
      <c r="R660" s="6"/>
      <c r="S660" s="6"/>
      <c r="T660" s="6"/>
      <c r="U660" s="6"/>
      <c r="V660" s="6"/>
      <c r="W660" s="6"/>
      <c r="X660" s="6"/>
      <c r="Y660" s="6"/>
      <c r="Z660" s="6"/>
      <c r="AA660" s="6"/>
    </row>
    <row r="661" spans="1:27" ht="14.25">
      <c r="A661" s="6"/>
      <c r="B661" s="6"/>
      <c r="C661" s="6"/>
      <c r="D661" s="6"/>
      <c r="E661" s="6"/>
      <c r="F661" s="6"/>
      <c r="G661" s="6"/>
      <c r="H661" s="6"/>
      <c r="I661" s="6"/>
      <c r="J661" s="6"/>
      <c r="K661" s="6"/>
      <c r="L661" s="6"/>
      <c r="M661" s="6"/>
      <c r="N661" s="6"/>
      <c r="O661" s="6"/>
      <c r="P661" s="6"/>
      <c r="Q661" s="6"/>
      <c r="R661" s="6"/>
      <c r="S661" s="6"/>
      <c r="T661" s="6"/>
      <c r="U661" s="6"/>
      <c r="V661" s="6"/>
      <c r="W661" s="6"/>
      <c r="X661" s="6"/>
      <c r="Y661" s="6"/>
      <c r="Z661" s="6"/>
      <c r="AA661" s="6"/>
    </row>
    <row r="662" spans="1:27" ht="14.25">
      <c r="A662" s="6"/>
      <c r="B662" s="6"/>
      <c r="C662" s="6"/>
      <c r="D662" s="6"/>
      <c r="E662" s="6"/>
      <c r="F662" s="6"/>
      <c r="G662" s="6"/>
      <c r="H662" s="6"/>
      <c r="I662" s="6"/>
      <c r="J662" s="6"/>
      <c r="K662" s="6"/>
      <c r="L662" s="6"/>
      <c r="M662" s="6"/>
      <c r="N662" s="6"/>
      <c r="O662" s="6"/>
      <c r="P662" s="6"/>
      <c r="Q662" s="6"/>
      <c r="R662" s="6"/>
      <c r="S662" s="6"/>
      <c r="T662" s="6"/>
      <c r="U662" s="6"/>
      <c r="V662" s="6"/>
      <c r="W662" s="6"/>
      <c r="X662" s="6"/>
      <c r="Y662" s="6"/>
      <c r="Z662" s="6"/>
      <c r="AA662" s="6"/>
    </row>
    <row r="663" spans="1:27" ht="14.25">
      <c r="A663" s="6"/>
      <c r="B663" s="6"/>
      <c r="C663" s="6"/>
      <c r="D663" s="6"/>
      <c r="E663" s="6"/>
      <c r="F663" s="6"/>
      <c r="G663" s="6"/>
      <c r="H663" s="6"/>
      <c r="I663" s="6"/>
      <c r="J663" s="6"/>
      <c r="K663" s="6"/>
      <c r="L663" s="6"/>
      <c r="M663" s="6"/>
      <c r="N663" s="6"/>
      <c r="O663" s="6"/>
      <c r="P663" s="6"/>
      <c r="Q663" s="6"/>
      <c r="R663" s="6"/>
      <c r="S663" s="6"/>
      <c r="T663" s="6"/>
      <c r="U663" s="6"/>
      <c r="V663" s="6"/>
      <c r="W663" s="6"/>
      <c r="X663" s="6"/>
      <c r="Y663" s="6"/>
      <c r="Z663" s="6"/>
      <c r="AA663" s="6"/>
    </row>
    <row r="664" spans="1:27" ht="14.25">
      <c r="A664" s="6"/>
      <c r="B664" s="6"/>
      <c r="C664" s="6"/>
      <c r="D664" s="6"/>
      <c r="E664" s="6"/>
      <c r="F664" s="6"/>
      <c r="G664" s="6"/>
      <c r="H664" s="6"/>
      <c r="I664" s="6"/>
      <c r="J664" s="6"/>
      <c r="K664" s="6"/>
      <c r="L664" s="6"/>
      <c r="M664" s="6"/>
      <c r="N664" s="6"/>
      <c r="O664" s="6"/>
      <c r="P664" s="6"/>
      <c r="Q664" s="6"/>
      <c r="R664" s="6"/>
      <c r="S664" s="6"/>
      <c r="T664" s="6"/>
      <c r="U664" s="6"/>
      <c r="V664" s="6"/>
      <c r="W664" s="6"/>
      <c r="X664" s="6"/>
      <c r="Y664" s="6"/>
      <c r="Z664" s="6"/>
      <c r="AA664" s="6"/>
    </row>
    <row r="665" spans="1:27" ht="14.25">
      <c r="A665" s="6"/>
      <c r="B665" s="6"/>
      <c r="C665" s="6"/>
      <c r="D665" s="6"/>
      <c r="E665" s="6"/>
      <c r="F665" s="6"/>
      <c r="G665" s="6"/>
      <c r="H665" s="6"/>
      <c r="I665" s="6"/>
      <c r="J665" s="6"/>
      <c r="K665" s="6"/>
      <c r="L665" s="6"/>
      <c r="M665" s="6"/>
      <c r="N665" s="6"/>
      <c r="O665" s="6"/>
      <c r="P665" s="6"/>
      <c r="Q665" s="6"/>
      <c r="R665" s="6"/>
      <c r="S665" s="6"/>
      <c r="T665" s="6"/>
      <c r="U665" s="6"/>
      <c r="V665" s="6"/>
      <c r="W665" s="6"/>
      <c r="X665" s="6"/>
      <c r="Y665" s="6"/>
      <c r="Z665" s="6"/>
      <c r="AA665" s="6"/>
    </row>
    <row r="666" spans="1:27" ht="14.25">
      <c r="A666" s="6"/>
      <c r="B666" s="6"/>
      <c r="C666" s="6"/>
      <c r="D666" s="6"/>
      <c r="E666" s="6"/>
      <c r="F666" s="6"/>
      <c r="G666" s="6"/>
      <c r="H666" s="6"/>
      <c r="I666" s="6"/>
      <c r="J666" s="6"/>
      <c r="K666" s="6"/>
      <c r="L666" s="6"/>
      <c r="M666" s="6"/>
      <c r="N666" s="6"/>
      <c r="O666" s="6"/>
      <c r="P666" s="6"/>
      <c r="Q666" s="6"/>
      <c r="R666" s="6"/>
      <c r="S666" s="6"/>
      <c r="T666" s="6"/>
      <c r="U666" s="6"/>
      <c r="V666" s="6"/>
      <c r="W666" s="6"/>
      <c r="X666" s="6"/>
      <c r="Y666" s="6"/>
      <c r="Z666" s="6"/>
      <c r="AA666" s="6"/>
    </row>
    <row r="667" spans="1:27" ht="14.25">
      <c r="A667" s="6"/>
      <c r="B667" s="6"/>
      <c r="C667" s="6"/>
      <c r="D667" s="6"/>
      <c r="E667" s="6"/>
      <c r="F667" s="6"/>
      <c r="G667" s="6"/>
      <c r="H667" s="6"/>
      <c r="I667" s="6"/>
      <c r="J667" s="6"/>
      <c r="K667" s="6"/>
      <c r="L667" s="6"/>
      <c r="M667" s="6"/>
      <c r="N667" s="6"/>
      <c r="O667" s="6"/>
      <c r="P667" s="6"/>
      <c r="Q667" s="6"/>
      <c r="R667" s="6"/>
      <c r="S667" s="6"/>
      <c r="T667" s="6"/>
      <c r="U667" s="6"/>
      <c r="V667" s="6"/>
      <c r="W667" s="6"/>
      <c r="X667" s="6"/>
      <c r="Y667" s="6"/>
      <c r="Z667" s="6"/>
      <c r="AA667" s="6"/>
    </row>
    <row r="668" spans="1:27" ht="14.25">
      <c r="A668" s="6"/>
      <c r="B668" s="6"/>
      <c r="C668" s="6"/>
      <c r="D668" s="6"/>
      <c r="E668" s="6"/>
      <c r="F668" s="6"/>
      <c r="G668" s="6"/>
      <c r="H668" s="6"/>
      <c r="I668" s="6"/>
      <c r="J668" s="6"/>
      <c r="K668" s="6"/>
      <c r="L668" s="6"/>
      <c r="M668" s="6"/>
      <c r="N668" s="6"/>
      <c r="O668" s="6"/>
      <c r="P668" s="6"/>
      <c r="Q668" s="6"/>
      <c r="R668" s="6"/>
      <c r="S668" s="6"/>
      <c r="T668" s="6"/>
      <c r="U668" s="6"/>
      <c r="V668" s="6"/>
      <c r="W668" s="6"/>
      <c r="X668" s="6"/>
      <c r="Y668" s="6"/>
      <c r="Z668" s="6"/>
      <c r="AA668" s="6"/>
    </row>
    <row r="669" spans="1:27" ht="14.25">
      <c r="A669" s="6"/>
      <c r="B669" s="6"/>
      <c r="C669" s="6"/>
      <c r="D669" s="6"/>
      <c r="E669" s="6"/>
      <c r="F669" s="6"/>
      <c r="G669" s="6"/>
      <c r="H669" s="6"/>
      <c r="I669" s="6"/>
      <c r="J669" s="6"/>
      <c r="K669" s="6"/>
      <c r="L669" s="6"/>
      <c r="M669" s="6"/>
      <c r="N669" s="6"/>
      <c r="O669" s="6"/>
      <c r="P669" s="6"/>
      <c r="Q669" s="6"/>
      <c r="R669" s="6"/>
      <c r="S669" s="6"/>
      <c r="T669" s="6"/>
      <c r="U669" s="6"/>
      <c r="V669" s="6"/>
      <c r="W669" s="6"/>
      <c r="X669" s="6"/>
      <c r="Y669" s="6"/>
      <c r="Z669" s="6"/>
      <c r="AA669" s="6"/>
    </row>
    <row r="670" spans="1:27" ht="14.25">
      <c r="A670" s="6"/>
      <c r="B670" s="6"/>
      <c r="C670" s="6"/>
      <c r="D670" s="6"/>
      <c r="E670" s="6"/>
      <c r="F670" s="6"/>
      <c r="G670" s="6"/>
      <c r="H670" s="6"/>
      <c r="I670" s="6"/>
      <c r="J670" s="6"/>
      <c r="K670" s="6"/>
      <c r="L670" s="6"/>
      <c r="M670" s="6"/>
      <c r="N670" s="6"/>
      <c r="O670" s="6"/>
      <c r="P670" s="6"/>
      <c r="Q670" s="6"/>
      <c r="R670" s="6"/>
      <c r="S670" s="6"/>
      <c r="T670" s="6"/>
      <c r="U670" s="6"/>
      <c r="V670" s="6"/>
      <c r="W670" s="6"/>
      <c r="X670" s="6"/>
      <c r="Y670" s="6"/>
      <c r="Z670" s="6"/>
      <c r="AA670" s="6"/>
    </row>
    <row r="671" spans="1:27" ht="14.25">
      <c r="A671" s="6"/>
      <c r="B671" s="6"/>
      <c r="C671" s="6"/>
      <c r="D671" s="6"/>
      <c r="E671" s="6"/>
      <c r="F671" s="6"/>
      <c r="G671" s="6"/>
      <c r="H671" s="6"/>
      <c r="I671" s="6"/>
      <c r="J671" s="6"/>
      <c r="K671" s="6"/>
      <c r="L671" s="6"/>
      <c r="M671" s="6"/>
      <c r="N671" s="6"/>
      <c r="O671" s="6"/>
      <c r="P671" s="6"/>
      <c r="Q671" s="6"/>
      <c r="R671" s="6"/>
      <c r="S671" s="6"/>
      <c r="T671" s="6"/>
      <c r="U671" s="6"/>
      <c r="V671" s="6"/>
      <c r="W671" s="6"/>
      <c r="X671" s="6"/>
      <c r="Y671" s="6"/>
      <c r="Z671" s="6"/>
      <c r="AA671" s="6"/>
    </row>
    <row r="672" spans="1:27" ht="14.25">
      <c r="A672" s="6"/>
      <c r="B672" s="6"/>
      <c r="C672" s="6"/>
      <c r="D672" s="6"/>
      <c r="E672" s="6"/>
      <c r="F672" s="6"/>
      <c r="G672" s="6"/>
      <c r="H672" s="6"/>
      <c r="I672" s="6"/>
      <c r="J672" s="6"/>
      <c r="K672" s="6"/>
      <c r="L672" s="6"/>
      <c r="M672" s="6"/>
      <c r="N672" s="6"/>
      <c r="O672" s="6"/>
      <c r="P672" s="6"/>
      <c r="Q672" s="6"/>
      <c r="R672" s="6"/>
      <c r="S672" s="6"/>
      <c r="T672" s="6"/>
      <c r="U672" s="6"/>
      <c r="V672" s="6"/>
      <c r="W672" s="6"/>
      <c r="X672" s="6"/>
      <c r="Y672" s="6"/>
      <c r="Z672" s="6"/>
      <c r="AA672" s="6"/>
    </row>
    <row r="673" spans="1:27" ht="14.25">
      <c r="A673" s="6"/>
      <c r="B673" s="6"/>
      <c r="C673" s="6"/>
      <c r="D673" s="6"/>
      <c r="E673" s="6"/>
      <c r="F673" s="6"/>
      <c r="G673" s="6"/>
      <c r="H673" s="6"/>
      <c r="I673" s="6"/>
      <c r="J673" s="6"/>
      <c r="K673" s="6"/>
      <c r="L673" s="6"/>
      <c r="M673" s="6"/>
      <c r="N673" s="6"/>
      <c r="O673" s="6"/>
      <c r="P673" s="6"/>
      <c r="Q673" s="6"/>
      <c r="R673" s="6"/>
      <c r="S673" s="6"/>
      <c r="T673" s="6"/>
      <c r="U673" s="6"/>
      <c r="V673" s="6"/>
      <c r="W673" s="6"/>
      <c r="X673" s="6"/>
      <c r="Y673" s="6"/>
      <c r="Z673" s="6"/>
      <c r="AA673" s="6"/>
    </row>
    <row r="674" spans="1:27" ht="14.25">
      <c r="A674" s="6"/>
      <c r="B674" s="6"/>
      <c r="C674" s="6"/>
      <c r="D674" s="6"/>
      <c r="E674" s="6"/>
      <c r="F674" s="6"/>
      <c r="G674" s="6"/>
      <c r="H674" s="6"/>
      <c r="I674" s="6"/>
      <c r="J674" s="6"/>
      <c r="K674" s="6"/>
      <c r="L674" s="6"/>
      <c r="M674" s="6"/>
      <c r="N674" s="6"/>
      <c r="O674" s="6"/>
      <c r="P674" s="6"/>
      <c r="Q674" s="6"/>
      <c r="R674" s="6"/>
      <c r="S674" s="6"/>
      <c r="T674" s="6"/>
      <c r="U674" s="6"/>
      <c r="V674" s="6"/>
      <c r="W674" s="6"/>
      <c r="X674" s="6"/>
      <c r="Y674" s="6"/>
      <c r="Z674" s="6"/>
      <c r="AA674" s="6"/>
    </row>
    <row r="675" spans="1:27" ht="14.25">
      <c r="A675" s="6"/>
      <c r="B675" s="6"/>
      <c r="C675" s="6"/>
      <c r="D675" s="6"/>
      <c r="E675" s="6"/>
      <c r="F675" s="6"/>
      <c r="G675" s="6"/>
      <c r="H675" s="6"/>
      <c r="I675" s="6"/>
      <c r="J675" s="6"/>
      <c r="K675" s="6"/>
      <c r="L675" s="6"/>
      <c r="M675" s="6"/>
      <c r="N675" s="6"/>
      <c r="O675" s="6"/>
      <c r="P675" s="6"/>
      <c r="Q675" s="6"/>
      <c r="R675" s="6"/>
      <c r="S675" s="6"/>
      <c r="T675" s="6"/>
      <c r="U675" s="6"/>
      <c r="V675" s="6"/>
      <c r="W675" s="6"/>
      <c r="X675" s="6"/>
      <c r="Y675" s="6"/>
      <c r="Z675" s="6"/>
      <c r="AA675" s="6"/>
    </row>
    <row r="676" spans="1:27" ht="14.25">
      <c r="A676" s="6"/>
      <c r="B676" s="6"/>
      <c r="C676" s="6"/>
      <c r="D676" s="6"/>
      <c r="E676" s="6"/>
      <c r="F676" s="6"/>
      <c r="G676" s="6"/>
      <c r="H676" s="6"/>
      <c r="I676" s="6"/>
      <c r="J676" s="6"/>
      <c r="K676" s="6"/>
      <c r="L676" s="6"/>
      <c r="M676" s="6"/>
      <c r="N676" s="6"/>
      <c r="O676" s="6"/>
      <c r="P676" s="6"/>
      <c r="Q676" s="6"/>
      <c r="R676" s="6"/>
      <c r="S676" s="6"/>
      <c r="T676" s="6"/>
      <c r="U676" s="6"/>
      <c r="V676" s="6"/>
      <c r="W676" s="6"/>
      <c r="X676" s="6"/>
      <c r="Y676" s="6"/>
      <c r="Z676" s="6"/>
      <c r="AA676" s="6"/>
    </row>
    <row r="677" spans="1:27" ht="14.25">
      <c r="A677" s="6"/>
      <c r="B677" s="6"/>
      <c r="C677" s="6"/>
      <c r="D677" s="6"/>
      <c r="E677" s="6"/>
      <c r="F677" s="6"/>
      <c r="G677" s="6"/>
      <c r="H677" s="6"/>
      <c r="I677" s="6"/>
      <c r="J677" s="6"/>
      <c r="K677" s="6"/>
      <c r="L677" s="6"/>
      <c r="M677" s="6"/>
      <c r="N677" s="6"/>
      <c r="O677" s="6"/>
      <c r="P677" s="6"/>
      <c r="Q677" s="6"/>
      <c r="R677" s="6"/>
      <c r="S677" s="6"/>
      <c r="T677" s="6"/>
      <c r="U677" s="6"/>
      <c r="V677" s="6"/>
      <c r="W677" s="6"/>
      <c r="X677" s="6"/>
      <c r="Y677" s="6"/>
      <c r="Z677" s="6"/>
      <c r="AA677" s="6"/>
    </row>
    <row r="678" spans="1:27" ht="14.25">
      <c r="A678" s="6"/>
      <c r="B678" s="6"/>
      <c r="C678" s="6"/>
      <c r="D678" s="6"/>
      <c r="E678" s="6"/>
      <c r="F678" s="6"/>
      <c r="G678" s="6"/>
      <c r="H678" s="6"/>
      <c r="I678" s="6"/>
      <c r="J678" s="6"/>
      <c r="K678" s="6"/>
      <c r="L678" s="6"/>
      <c r="M678" s="6"/>
      <c r="N678" s="6"/>
      <c r="O678" s="6"/>
      <c r="P678" s="6"/>
      <c r="Q678" s="6"/>
      <c r="R678" s="6"/>
      <c r="S678" s="6"/>
      <c r="T678" s="6"/>
      <c r="U678" s="6"/>
      <c r="V678" s="6"/>
      <c r="W678" s="6"/>
      <c r="X678" s="6"/>
      <c r="Y678" s="6"/>
      <c r="Z678" s="6"/>
      <c r="AA678" s="6"/>
    </row>
    <row r="679" spans="1:27" ht="14.25">
      <c r="A679" s="6"/>
      <c r="B679" s="6"/>
      <c r="C679" s="6"/>
      <c r="D679" s="6"/>
      <c r="E679" s="6"/>
      <c r="F679" s="6"/>
      <c r="G679" s="6"/>
      <c r="H679" s="6"/>
      <c r="I679" s="6"/>
      <c r="J679" s="6"/>
      <c r="K679" s="6"/>
      <c r="L679" s="6"/>
      <c r="M679" s="6"/>
      <c r="N679" s="6"/>
      <c r="O679" s="6"/>
      <c r="P679" s="6"/>
      <c r="Q679" s="6"/>
      <c r="R679" s="6"/>
      <c r="S679" s="6"/>
      <c r="T679" s="6"/>
      <c r="U679" s="6"/>
      <c r="V679" s="6"/>
      <c r="W679" s="6"/>
      <c r="X679" s="6"/>
      <c r="Y679" s="6"/>
      <c r="Z679" s="6"/>
      <c r="AA679" s="6"/>
    </row>
    <row r="680" spans="1:27" ht="14.25">
      <c r="A680" s="6"/>
      <c r="B680" s="6"/>
      <c r="C680" s="6"/>
      <c r="D680" s="6"/>
      <c r="E680" s="6"/>
      <c r="F680" s="6"/>
      <c r="G680" s="6"/>
      <c r="H680" s="6"/>
      <c r="I680" s="6"/>
      <c r="J680" s="6"/>
      <c r="K680" s="6"/>
      <c r="L680" s="6"/>
      <c r="M680" s="6"/>
      <c r="N680" s="6"/>
      <c r="O680" s="6"/>
      <c r="P680" s="6"/>
      <c r="Q680" s="6"/>
      <c r="R680" s="6"/>
      <c r="S680" s="6"/>
      <c r="T680" s="6"/>
      <c r="U680" s="6"/>
      <c r="V680" s="6"/>
      <c r="W680" s="6"/>
      <c r="X680" s="6"/>
      <c r="Y680" s="6"/>
      <c r="Z680" s="6"/>
      <c r="AA680" s="6"/>
    </row>
    <row r="681" spans="1:27" ht="14.25">
      <c r="A681" s="6"/>
      <c r="B681" s="6"/>
      <c r="C681" s="6"/>
      <c r="D681" s="6"/>
      <c r="E681" s="6"/>
      <c r="F681" s="6"/>
      <c r="G681" s="6"/>
      <c r="H681" s="6"/>
      <c r="I681" s="6"/>
      <c r="J681" s="6"/>
      <c r="K681" s="6"/>
      <c r="L681" s="6"/>
      <c r="M681" s="6"/>
      <c r="N681" s="6"/>
      <c r="O681" s="6"/>
      <c r="P681" s="6"/>
      <c r="Q681" s="6"/>
      <c r="R681" s="6"/>
      <c r="S681" s="6"/>
      <c r="T681" s="6"/>
      <c r="U681" s="6"/>
      <c r="V681" s="6"/>
      <c r="W681" s="6"/>
      <c r="X681" s="6"/>
      <c r="Y681" s="6"/>
      <c r="Z681" s="6"/>
      <c r="AA681" s="6"/>
    </row>
    <row r="682" spans="1:27" ht="14.25">
      <c r="A682" s="6"/>
      <c r="B682" s="6"/>
      <c r="C682" s="6"/>
      <c r="D682" s="6"/>
      <c r="E682" s="6"/>
      <c r="F682" s="6"/>
      <c r="G682" s="6"/>
      <c r="H682" s="6"/>
      <c r="I682" s="6"/>
      <c r="J682" s="6"/>
      <c r="K682" s="6"/>
      <c r="L682" s="6"/>
      <c r="M682" s="6"/>
      <c r="N682" s="6"/>
      <c r="O682" s="6"/>
      <c r="P682" s="6"/>
      <c r="Q682" s="6"/>
      <c r="R682" s="6"/>
      <c r="S682" s="6"/>
      <c r="T682" s="6"/>
      <c r="U682" s="6"/>
      <c r="V682" s="6"/>
      <c r="W682" s="6"/>
      <c r="X682" s="6"/>
      <c r="Y682" s="6"/>
      <c r="Z682" s="6"/>
      <c r="AA682" s="6"/>
    </row>
    <row r="683" spans="1:27" ht="14.25">
      <c r="A683" s="6"/>
      <c r="B683" s="6"/>
      <c r="C683" s="6"/>
      <c r="D683" s="6"/>
      <c r="E683" s="6"/>
      <c r="F683" s="6"/>
      <c r="G683" s="6"/>
      <c r="H683" s="6"/>
      <c r="I683" s="6"/>
      <c r="J683" s="6"/>
      <c r="K683" s="6"/>
      <c r="L683" s="6"/>
      <c r="M683" s="6"/>
      <c r="N683" s="6"/>
      <c r="O683" s="6"/>
      <c r="P683" s="6"/>
      <c r="Q683" s="6"/>
      <c r="R683" s="6"/>
      <c r="S683" s="6"/>
      <c r="T683" s="6"/>
      <c r="U683" s="6"/>
      <c r="V683" s="6"/>
      <c r="W683" s="6"/>
      <c r="X683" s="6"/>
      <c r="Y683" s="6"/>
      <c r="Z683" s="6"/>
      <c r="AA683" s="6"/>
    </row>
    <row r="684" spans="1:27" ht="14.25">
      <c r="A684" s="6"/>
      <c r="B684" s="6"/>
      <c r="C684" s="6"/>
      <c r="D684" s="6"/>
      <c r="E684" s="6"/>
      <c r="F684" s="6"/>
      <c r="G684" s="6"/>
      <c r="H684" s="6"/>
      <c r="I684" s="6"/>
      <c r="J684" s="6"/>
      <c r="K684" s="6"/>
      <c r="L684" s="6"/>
      <c r="M684" s="6"/>
      <c r="N684" s="6"/>
      <c r="O684" s="6"/>
      <c r="P684" s="6"/>
      <c r="Q684" s="6"/>
      <c r="R684" s="6"/>
      <c r="S684" s="6"/>
      <c r="T684" s="6"/>
      <c r="U684" s="6"/>
      <c r="V684" s="6"/>
      <c r="W684" s="6"/>
      <c r="X684" s="6"/>
      <c r="Y684" s="6"/>
      <c r="Z684" s="6"/>
      <c r="AA684" s="6"/>
    </row>
    <row r="685" spans="1:27" ht="14.25">
      <c r="A685" s="6"/>
      <c r="B685" s="6"/>
      <c r="C685" s="6"/>
      <c r="D685" s="6"/>
      <c r="E685" s="6"/>
      <c r="F685" s="6"/>
      <c r="G685" s="6"/>
      <c r="H685" s="6"/>
      <c r="I685" s="6"/>
      <c r="J685" s="6"/>
      <c r="K685" s="6"/>
      <c r="L685" s="6"/>
      <c r="M685" s="6"/>
      <c r="N685" s="6"/>
      <c r="O685" s="6"/>
      <c r="P685" s="6"/>
      <c r="Q685" s="6"/>
      <c r="R685" s="6"/>
      <c r="S685" s="6"/>
      <c r="T685" s="6"/>
      <c r="U685" s="6"/>
      <c r="V685" s="6"/>
      <c r="W685" s="6"/>
      <c r="X685" s="6"/>
      <c r="Y685" s="6"/>
      <c r="Z685" s="6"/>
      <c r="AA685" s="6"/>
    </row>
    <row r="686" spans="1:27" ht="14.25">
      <c r="A686" s="6"/>
      <c r="B686" s="6"/>
      <c r="C686" s="6"/>
      <c r="D686" s="6"/>
      <c r="E686" s="6"/>
      <c r="F686" s="6"/>
      <c r="G686" s="6"/>
      <c r="H686" s="6"/>
      <c r="I686" s="6"/>
      <c r="J686" s="6"/>
      <c r="K686" s="6"/>
      <c r="L686" s="6"/>
      <c r="M686" s="6"/>
      <c r="N686" s="6"/>
      <c r="O686" s="6"/>
      <c r="P686" s="6"/>
      <c r="Q686" s="6"/>
      <c r="R686" s="6"/>
      <c r="S686" s="6"/>
      <c r="T686" s="6"/>
      <c r="U686" s="6"/>
      <c r="V686" s="6"/>
      <c r="W686" s="6"/>
      <c r="X686" s="6"/>
      <c r="Y686" s="6"/>
      <c r="Z686" s="6"/>
      <c r="AA686" s="6"/>
    </row>
    <row r="687" spans="1:27" ht="14.25">
      <c r="A687" s="6"/>
      <c r="B687" s="6"/>
      <c r="C687" s="6"/>
      <c r="D687" s="6"/>
      <c r="E687" s="6"/>
      <c r="F687" s="6"/>
      <c r="G687" s="6"/>
      <c r="H687" s="6"/>
      <c r="I687" s="6"/>
      <c r="J687" s="6"/>
      <c r="K687" s="6"/>
      <c r="L687" s="6"/>
      <c r="M687" s="6"/>
      <c r="N687" s="6"/>
      <c r="O687" s="6"/>
      <c r="P687" s="6"/>
      <c r="Q687" s="6"/>
      <c r="R687" s="6"/>
      <c r="S687" s="6"/>
      <c r="T687" s="6"/>
      <c r="U687" s="6"/>
      <c r="V687" s="6"/>
      <c r="W687" s="6"/>
      <c r="X687" s="6"/>
      <c r="Y687" s="6"/>
      <c r="Z687" s="6"/>
      <c r="AA687" s="6"/>
    </row>
    <row r="688" spans="1:27" ht="14.25">
      <c r="A688" s="6"/>
      <c r="B688" s="6"/>
      <c r="C688" s="6"/>
      <c r="D688" s="6"/>
      <c r="E688" s="6"/>
      <c r="F688" s="6"/>
      <c r="G688" s="6"/>
      <c r="H688" s="6"/>
      <c r="I688" s="6"/>
      <c r="J688" s="6"/>
      <c r="K688" s="6"/>
      <c r="L688" s="6"/>
      <c r="M688" s="6"/>
      <c r="N688" s="6"/>
      <c r="O688" s="6"/>
      <c r="P688" s="6"/>
      <c r="Q688" s="6"/>
      <c r="R688" s="6"/>
      <c r="S688" s="6"/>
      <c r="T688" s="6"/>
      <c r="U688" s="6"/>
      <c r="V688" s="6"/>
      <c r="W688" s="6"/>
      <c r="X688" s="6"/>
      <c r="Y688" s="6"/>
      <c r="Z688" s="6"/>
      <c r="AA688" s="6"/>
    </row>
    <row r="689" spans="1:27" ht="14.25">
      <c r="A689" s="6"/>
      <c r="B689" s="6"/>
      <c r="C689" s="6"/>
      <c r="D689" s="6"/>
      <c r="E689" s="6"/>
      <c r="F689" s="6"/>
      <c r="G689" s="6"/>
      <c r="H689" s="6"/>
      <c r="I689" s="6"/>
      <c r="J689" s="6"/>
      <c r="K689" s="6"/>
      <c r="L689" s="6"/>
      <c r="M689" s="6"/>
      <c r="N689" s="6"/>
      <c r="O689" s="6"/>
      <c r="P689" s="6"/>
      <c r="Q689" s="6"/>
      <c r="R689" s="6"/>
      <c r="S689" s="6"/>
      <c r="T689" s="6"/>
      <c r="U689" s="6"/>
      <c r="V689" s="6"/>
      <c r="W689" s="6"/>
      <c r="X689" s="6"/>
      <c r="Y689" s="6"/>
      <c r="Z689" s="6"/>
      <c r="AA689" s="6"/>
    </row>
    <row r="690" spans="1:27" ht="14.25">
      <c r="A690" s="6"/>
      <c r="B690" s="6"/>
      <c r="C690" s="6"/>
      <c r="D690" s="6"/>
      <c r="E690" s="6"/>
      <c r="F690" s="6"/>
      <c r="G690" s="6"/>
      <c r="H690" s="6"/>
      <c r="I690" s="6"/>
      <c r="J690" s="6"/>
      <c r="K690" s="6"/>
      <c r="L690" s="6"/>
      <c r="M690" s="6"/>
      <c r="N690" s="6"/>
      <c r="O690" s="6"/>
      <c r="P690" s="6"/>
      <c r="Q690" s="6"/>
      <c r="R690" s="6"/>
      <c r="S690" s="6"/>
      <c r="T690" s="6"/>
      <c r="U690" s="6"/>
      <c r="V690" s="6"/>
      <c r="W690" s="6"/>
      <c r="X690" s="6"/>
      <c r="Y690" s="6"/>
      <c r="Z690" s="6"/>
      <c r="AA690" s="6"/>
    </row>
    <row r="691" spans="1:27" ht="14.25">
      <c r="A691" s="6"/>
      <c r="B691" s="6"/>
      <c r="C691" s="6"/>
      <c r="D691" s="6"/>
      <c r="E691" s="6"/>
      <c r="F691" s="6"/>
      <c r="G691" s="6"/>
      <c r="H691" s="6"/>
      <c r="I691" s="6"/>
      <c r="J691" s="6"/>
      <c r="K691" s="6"/>
      <c r="L691" s="6"/>
      <c r="M691" s="6"/>
      <c r="N691" s="6"/>
      <c r="O691" s="6"/>
      <c r="P691" s="6"/>
      <c r="Q691" s="6"/>
      <c r="R691" s="6"/>
      <c r="S691" s="6"/>
      <c r="T691" s="6"/>
      <c r="U691" s="6"/>
      <c r="V691" s="6"/>
      <c r="W691" s="6"/>
      <c r="X691" s="6"/>
      <c r="Y691" s="6"/>
      <c r="Z691" s="6"/>
      <c r="AA691" s="6"/>
    </row>
    <row r="692" spans="1:27" ht="14.25">
      <c r="A692" s="6"/>
      <c r="B692" s="6"/>
      <c r="C692" s="6"/>
      <c r="D692" s="6"/>
      <c r="E692" s="6"/>
      <c r="F692" s="6"/>
      <c r="G692" s="6"/>
      <c r="H692" s="6"/>
      <c r="I692" s="6"/>
      <c r="J692" s="6"/>
      <c r="K692" s="6"/>
      <c r="L692" s="6"/>
      <c r="M692" s="6"/>
      <c r="N692" s="6"/>
      <c r="O692" s="6"/>
      <c r="P692" s="6"/>
      <c r="Q692" s="6"/>
      <c r="R692" s="6"/>
      <c r="S692" s="6"/>
      <c r="T692" s="6"/>
      <c r="U692" s="6"/>
      <c r="V692" s="6"/>
      <c r="W692" s="6"/>
      <c r="X692" s="6"/>
      <c r="Y692" s="6"/>
      <c r="Z692" s="6"/>
      <c r="AA692" s="6"/>
    </row>
    <row r="693" spans="1:27" ht="14.25">
      <c r="A693" s="6"/>
      <c r="B693" s="6"/>
      <c r="C693" s="6"/>
      <c r="D693" s="6"/>
      <c r="E693" s="6"/>
      <c r="F693" s="6"/>
      <c r="G693" s="6"/>
      <c r="H693" s="6"/>
      <c r="I693" s="6"/>
      <c r="J693" s="6"/>
      <c r="K693" s="6"/>
      <c r="L693" s="6"/>
      <c r="M693" s="6"/>
      <c r="N693" s="6"/>
      <c r="O693" s="6"/>
      <c r="P693" s="6"/>
      <c r="Q693" s="6"/>
      <c r="R693" s="6"/>
      <c r="S693" s="6"/>
      <c r="T693" s="6"/>
      <c r="U693" s="6"/>
      <c r="V693" s="6"/>
      <c r="W693" s="6"/>
      <c r="X693" s="6"/>
      <c r="Y693" s="6"/>
      <c r="Z693" s="6"/>
      <c r="AA693" s="6"/>
    </row>
    <row r="694" spans="1:27" ht="14.25">
      <c r="A694" s="6"/>
      <c r="B694" s="6"/>
      <c r="C694" s="6"/>
      <c r="D694" s="6"/>
      <c r="E694" s="6"/>
      <c r="F694" s="6"/>
      <c r="G694" s="6"/>
      <c r="H694" s="6"/>
      <c r="I694" s="6"/>
      <c r="J694" s="6"/>
      <c r="K694" s="6"/>
      <c r="L694" s="6"/>
      <c r="M694" s="6"/>
      <c r="N694" s="6"/>
      <c r="O694" s="6"/>
      <c r="P694" s="6"/>
      <c r="Q694" s="6"/>
      <c r="R694" s="6"/>
      <c r="S694" s="6"/>
      <c r="T694" s="6"/>
      <c r="U694" s="6"/>
      <c r="V694" s="6"/>
      <c r="W694" s="6"/>
      <c r="X694" s="6"/>
      <c r="Y694" s="6"/>
      <c r="Z694" s="6"/>
      <c r="AA694" s="6"/>
    </row>
    <row r="695" spans="1:27" ht="14.25">
      <c r="A695" s="6"/>
      <c r="B695" s="6"/>
      <c r="C695" s="6"/>
      <c r="D695" s="6"/>
      <c r="E695" s="6"/>
      <c r="F695" s="6"/>
      <c r="G695" s="6"/>
      <c r="H695" s="6"/>
      <c r="I695" s="6"/>
      <c r="J695" s="6"/>
      <c r="K695" s="6"/>
      <c r="L695" s="6"/>
      <c r="M695" s="6"/>
      <c r="N695" s="6"/>
      <c r="O695" s="6"/>
      <c r="P695" s="6"/>
      <c r="Q695" s="6"/>
      <c r="R695" s="6"/>
      <c r="S695" s="6"/>
      <c r="T695" s="6"/>
      <c r="U695" s="6"/>
      <c r="V695" s="6"/>
      <c r="W695" s="6"/>
      <c r="X695" s="6"/>
      <c r="Y695" s="6"/>
      <c r="Z695" s="6"/>
      <c r="AA695" s="6"/>
    </row>
    <row r="696" spans="1:27" ht="14.25">
      <c r="A696" s="6"/>
      <c r="B696" s="6"/>
      <c r="C696" s="6"/>
      <c r="D696" s="6"/>
      <c r="E696" s="6"/>
      <c r="F696" s="6"/>
      <c r="G696" s="6"/>
      <c r="H696" s="6"/>
      <c r="I696" s="6"/>
      <c r="J696" s="6"/>
      <c r="K696" s="6"/>
      <c r="L696" s="6"/>
      <c r="M696" s="6"/>
      <c r="N696" s="6"/>
      <c r="O696" s="6"/>
      <c r="P696" s="6"/>
      <c r="Q696" s="6"/>
      <c r="R696" s="6"/>
      <c r="S696" s="6"/>
      <c r="T696" s="6"/>
      <c r="U696" s="6"/>
      <c r="V696" s="6"/>
      <c r="W696" s="6"/>
      <c r="X696" s="6"/>
      <c r="Y696" s="6"/>
      <c r="Z696" s="6"/>
      <c r="AA696" s="6"/>
    </row>
    <row r="697" spans="1:27" ht="14.25">
      <c r="A697" s="6"/>
      <c r="B697" s="6"/>
      <c r="C697" s="6"/>
      <c r="D697" s="6"/>
      <c r="E697" s="6"/>
      <c r="F697" s="6"/>
      <c r="G697" s="6"/>
      <c r="H697" s="6"/>
      <c r="I697" s="6"/>
      <c r="J697" s="6"/>
      <c r="K697" s="6"/>
      <c r="L697" s="6"/>
      <c r="M697" s="6"/>
      <c r="N697" s="6"/>
      <c r="O697" s="6"/>
      <c r="P697" s="6"/>
      <c r="Q697" s="6"/>
      <c r="R697" s="6"/>
      <c r="S697" s="6"/>
      <c r="T697" s="6"/>
      <c r="U697" s="6"/>
      <c r="V697" s="6"/>
      <c r="W697" s="6"/>
      <c r="X697" s="6"/>
      <c r="Y697" s="6"/>
      <c r="Z697" s="6"/>
      <c r="AA697" s="6"/>
    </row>
    <row r="698" spans="1:27" ht="14.25">
      <c r="A698" s="6"/>
      <c r="B698" s="6"/>
      <c r="C698" s="6"/>
      <c r="D698" s="6"/>
      <c r="E698" s="6"/>
      <c r="F698" s="6"/>
      <c r="G698" s="6"/>
      <c r="H698" s="6"/>
      <c r="I698" s="6"/>
      <c r="J698" s="6"/>
      <c r="K698" s="6"/>
      <c r="L698" s="6"/>
      <c r="M698" s="6"/>
      <c r="N698" s="6"/>
      <c r="O698" s="6"/>
      <c r="P698" s="6"/>
      <c r="Q698" s="6"/>
      <c r="R698" s="6"/>
      <c r="S698" s="6"/>
      <c r="T698" s="6"/>
      <c r="U698" s="6"/>
      <c r="V698" s="6"/>
      <c r="W698" s="6"/>
      <c r="X698" s="6"/>
      <c r="Y698" s="6"/>
      <c r="Z698" s="6"/>
      <c r="AA698" s="6"/>
    </row>
    <row r="699" spans="1:27" ht="14.25">
      <c r="A699" s="6"/>
      <c r="B699" s="6"/>
      <c r="C699" s="6"/>
      <c r="D699" s="6"/>
      <c r="E699" s="6"/>
      <c r="F699" s="6"/>
      <c r="G699" s="6"/>
      <c r="H699" s="6"/>
      <c r="I699" s="6"/>
      <c r="J699" s="6"/>
      <c r="K699" s="6"/>
      <c r="L699" s="6"/>
      <c r="M699" s="6"/>
      <c r="N699" s="6"/>
      <c r="O699" s="6"/>
      <c r="P699" s="6"/>
      <c r="Q699" s="6"/>
      <c r="R699" s="6"/>
      <c r="S699" s="6"/>
      <c r="T699" s="6"/>
      <c r="U699" s="6"/>
      <c r="V699" s="6"/>
      <c r="W699" s="6"/>
      <c r="X699" s="6"/>
      <c r="Y699" s="6"/>
      <c r="Z699" s="6"/>
      <c r="AA699" s="6"/>
    </row>
    <row r="700" spans="1:27" ht="14.25">
      <c r="A700" s="6"/>
      <c r="B700" s="6"/>
      <c r="C700" s="6"/>
      <c r="D700" s="6"/>
      <c r="E700" s="6"/>
      <c r="F700" s="6"/>
      <c r="G700" s="6"/>
      <c r="H700" s="6"/>
      <c r="I700" s="6"/>
      <c r="J700" s="6"/>
      <c r="K700" s="6"/>
      <c r="L700" s="6"/>
      <c r="M700" s="6"/>
      <c r="N700" s="6"/>
      <c r="O700" s="6"/>
      <c r="P700" s="6"/>
      <c r="Q700" s="6"/>
      <c r="R700" s="6"/>
      <c r="S700" s="6"/>
      <c r="T700" s="6"/>
      <c r="U700" s="6"/>
      <c r="V700" s="6"/>
      <c r="W700" s="6"/>
      <c r="X700" s="6"/>
      <c r="Y700" s="6"/>
      <c r="Z700" s="6"/>
      <c r="AA700" s="6"/>
    </row>
    <row r="701" spans="1:27" ht="14.25">
      <c r="A701" s="6"/>
      <c r="B701" s="6"/>
      <c r="C701" s="6"/>
      <c r="D701" s="6"/>
      <c r="E701" s="6"/>
      <c r="F701" s="6"/>
      <c r="G701" s="6"/>
      <c r="H701" s="6"/>
      <c r="I701" s="6"/>
      <c r="J701" s="6"/>
      <c r="K701" s="6"/>
      <c r="L701" s="6"/>
      <c r="M701" s="6"/>
      <c r="N701" s="6"/>
      <c r="O701" s="6"/>
      <c r="P701" s="6"/>
      <c r="Q701" s="6"/>
      <c r="R701" s="6"/>
      <c r="S701" s="6"/>
      <c r="T701" s="6"/>
      <c r="U701" s="6"/>
      <c r="V701" s="6"/>
      <c r="W701" s="6"/>
      <c r="X701" s="6"/>
      <c r="Y701" s="6"/>
      <c r="Z701" s="6"/>
      <c r="AA701" s="6"/>
    </row>
    <row r="702" spans="1:27" ht="14.25">
      <c r="A702" s="6"/>
      <c r="B702" s="6"/>
      <c r="C702" s="6"/>
      <c r="D702" s="6"/>
      <c r="E702" s="6"/>
      <c r="F702" s="6"/>
      <c r="G702" s="6"/>
      <c r="H702" s="6"/>
      <c r="I702" s="6"/>
      <c r="J702" s="6"/>
      <c r="K702" s="6"/>
      <c r="L702" s="6"/>
      <c r="M702" s="6"/>
      <c r="N702" s="6"/>
      <c r="O702" s="6"/>
      <c r="P702" s="6"/>
      <c r="Q702" s="6"/>
      <c r="R702" s="6"/>
      <c r="S702" s="6"/>
      <c r="T702" s="6"/>
      <c r="U702" s="6"/>
      <c r="V702" s="6"/>
      <c r="W702" s="6"/>
      <c r="X702" s="6"/>
      <c r="Y702" s="6"/>
      <c r="Z702" s="6"/>
      <c r="AA702" s="6"/>
    </row>
    <row r="703" spans="1:27" ht="14.25">
      <c r="A703" s="6"/>
      <c r="B703" s="6"/>
      <c r="C703" s="6"/>
      <c r="D703" s="6"/>
      <c r="E703" s="6"/>
      <c r="F703" s="6"/>
      <c r="G703" s="6"/>
      <c r="H703" s="6"/>
      <c r="I703" s="6"/>
      <c r="J703" s="6"/>
      <c r="K703" s="6"/>
      <c r="L703" s="6"/>
      <c r="M703" s="6"/>
      <c r="N703" s="6"/>
      <c r="O703" s="6"/>
      <c r="P703" s="6"/>
      <c r="Q703" s="6"/>
      <c r="R703" s="6"/>
      <c r="S703" s="6"/>
      <c r="T703" s="6"/>
      <c r="U703" s="6"/>
      <c r="V703" s="6"/>
      <c r="W703" s="6"/>
      <c r="X703" s="6"/>
      <c r="Y703" s="6"/>
      <c r="Z703" s="6"/>
      <c r="AA703" s="6"/>
    </row>
    <row r="704" spans="1:27" ht="14.25">
      <c r="A704" s="6"/>
      <c r="B704" s="6"/>
      <c r="C704" s="6"/>
      <c r="D704" s="6"/>
      <c r="E704" s="6"/>
      <c r="F704" s="6"/>
      <c r="G704" s="6"/>
      <c r="H704" s="6"/>
      <c r="I704" s="6"/>
      <c r="J704" s="6"/>
      <c r="K704" s="6"/>
      <c r="L704" s="6"/>
      <c r="M704" s="6"/>
      <c r="N704" s="6"/>
      <c r="O704" s="6"/>
      <c r="P704" s="6"/>
      <c r="Q704" s="6"/>
      <c r="R704" s="6"/>
      <c r="S704" s="6"/>
      <c r="T704" s="6"/>
      <c r="U704" s="6"/>
      <c r="V704" s="6"/>
      <c r="W704" s="6"/>
      <c r="X704" s="6"/>
      <c r="Y704" s="6"/>
      <c r="Z704" s="6"/>
      <c r="AA704" s="6"/>
    </row>
    <row r="705" spans="1:27" ht="14.25">
      <c r="A705" s="6"/>
      <c r="B705" s="6"/>
      <c r="C705" s="6"/>
      <c r="D705" s="6"/>
      <c r="E705" s="6"/>
      <c r="F705" s="6"/>
      <c r="G705" s="6"/>
      <c r="H705" s="6"/>
      <c r="I705" s="6"/>
      <c r="J705" s="6"/>
      <c r="K705" s="6"/>
      <c r="L705" s="6"/>
      <c r="M705" s="6"/>
      <c r="N705" s="6"/>
      <c r="O705" s="6"/>
      <c r="P705" s="6"/>
      <c r="Q705" s="6"/>
      <c r="R705" s="6"/>
      <c r="S705" s="6"/>
      <c r="T705" s="6"/>
      <c r="U705" s="6"/>
      <c r="V705" s="6"/>
      <c r="W705" s="6"/>
      <c r="X705" s="6"/>
      <c r="Y705" s="6"/>
      <c r="Z705" s="6"/>
      <c r="AA705" s="6"/>
    </row>
    <row r="706" spans="1:27" ht="14.25">
      <c r="A706" s="6"/>
      <c r="B706" s="6"/>
      <c r="C706" s="6"/>
      <c r="D706" s="6"/>
      <c r="E706" s="6"/>
      <c r="F706" s="6"/>
      <c r="G706" s="6"/>
      <c r="H706" s="6"/>
      <c r="I706" s="6"/>
      <c r="J706" s="6"/>
      <c r="K706" s="6"/>
      <c r="L706" s="6"/>
      <c r="M706" s="6"/>
      <c r="N706" s="6"/>
      <c r="O706" s="6"/>
      <c r="P706" s="6"/>
      <c r="Q706" s="6"/>
      <c r="R706" s="6"/>
      <c r="S706" s="6"/>
      <c r="T706" s="6"/>
      <c r="U706" s="6"/>
      <c r="V706" s="6"/>
      <c r="W706" s="6"/>
      <c r="X706" s="6"/>
      <c r="Y706" s="6"/>
      <c r="Z706" s="6"/>
      <c r="AA706" s="6"/>
    </row>
    <row r="707" spans="1:27" ht="14.25">
      <c r="A707" s="6"/>
      <c r="B707" s="6"/>
      <c r="C707" s="6"/>
      <c r="D707" s="6"/>
      <c r="E707" s="6"/>
      <c r="F707" s="6"/>
      <c r="G707" s="6"/>
      <c r="H707" s="6"/>
      <c r="I707" s="6"/>
      <c r="J707" s="6"/>
      <c r="K707" s="6"/>
      <c r="L707" s="6"/>
      <c r="M707" s="6"/>
      <c r="N707" s="6"/>
      <c r="O707" s="6"/>
      <c r="P707" s="6"/>
      <c r="Q707" s="6"/>
      <c r="R707" s="6"/>
      <c r="S707" s="6"/>
      <c r="T707" s="6"/>
      <c r="U707" s="6"/>
      <c r="V707" s="6"/>
      <c r="W707" s="6"/>
      <c r="X707" s="6"/>
      <c r="Y707" s="6"/>
      <c r="Z707" s="6"/>
      <c r="AA707" s="6"/>
    </row>
    <row r="708" spans="1:27" ht="14.25">
      <c r="A708" s="6"/>
      <c r="B708" s="6"/>
      <c r="C708" s="6"/>
      <c r="D708" s="6"/>
      <c r="E708" s="6"/>
      <c r="F708" s="6"/>
      <c r="G708" s="6"/>
      <c r="H708" s="6"/>
      <c r="I708" s="6"/>
      <c r="J708" s="6"/>
      <c r="K708" s="6"/>
      <c r="L708" s="6"/>
      <c r="M708" s="6"/>
      <c r="N708" s="6"/>
      <c r="O708" s="6"/>
      <c r="P708" s="6"/>
      <c r="Q708" s="6"/>
      <c r="R708" s="6"/>
      <c r="S708" s="6"/>
      <c r="T708" s="6"/>
      <c r="U708" s="6"/>
      <c r="V708" s="6"/>
      <c r="W708" s="6"/>
      <c r="X708" s="6"/>
      <c r="Y708" s="6"/>
      <c r="Z708" s="6"/>
      <c r="AA708" s="6"/>
    </row>
    <row r="709" spans="1:27" ht="14.25">
      <c r="A709" s="6"/>
      <c r="B709" s="6"/>
      <c r="C709" s="6"/>
      <c r="D709" s="6"/>
      <c r="E709" s="6"/>
      <c r="F709" s="6"/>
      <c r="G709" s="6"/>
      <c r="H709" s="6"/>
      <c r="I709" s="6"/>
      <c r="J709" s="6"/>
      <c r="K709" s="6"/>
      <c r="L709" s="6"/>
      <c r="M709" s="6"/>
      <c r="N709" s="6"/>
      <c r="O709" s="6"/>
      <c r="P709" s="6"/>
      <c r="Q709" s="6"/>
      <c r="R709" s="6"/>
      <c r="S709" s="6"/>
      <c r="T709" s="6"/>
      <c r="U709" s="6"/>
      <c r="V709" s="6"/>
      <c r="W709" s="6"/>
      <c r="X709" s="6"/>
      <c r="Y709" s="6"/>
      <c r="Z709" s="6"/>
      <c r="AA709" s="6"/>
    </row>
    <row r="710" spans="1:27" ht="14.25">
      <c r="A710" s="6"/>
      <c r="B710" s="6"/>
      <c r="C710" s="6"/>
      <c r="D710" s="6"/>
      <c r="E710" s="6"/>
      <c r="F710" s="6"/>
      <c r="G710" s="6"/>
      <c r="H710" s="6"/>
      <c r="I710" s="6"/>
      <c r="J710" s="6"/>
      <c r="K710" s="6"/>
      <c r="L710" s="6"/>
      <c r="M710" s="6"/>
      <c r="N710" s="6"/>
      <c r="O710" s="6"/>
      <c r="P710" s="6"/>
      <c r="Q710" s="6"/>
      <c r="R710" s="6"/>
      <c r="S710" s="6"/>
      <c r="T710" s="6"/>
      <c r="U710" s="6"/>
      <c r="V710" s="6"/>
      <c r="W710" s="6"/>
      <c r="X710" s="6"/>
      <c r="Y710" s="6"/>
      <c r="Z710" s="6"/>
      <c r="AA710" s="6"/>
    </row>
    <row r="711" spans="1:27" ht="14.25">
      <c r="A711" s="6"/>
      <c r="B711" s="6"/>
      <c r="C711" s="6"/>
      <c r="D711" s="6"/>
      <c r="E711" s="6"/>
      <c r="F711" s="6"/>
      <c r="G711" s="6"/>
      <c r="H711" s="6"/>
      <c r="I711" s="6"/>
      <c r="J711" s="6"/>
      <c r="K711" s="6"/>
      <c r="L711" s="6"/>
      <c r="M711" s="6"/>
      <c r="N711" s="6"/>
      <c r="O711" s="6"/>
      <c r="P711" s="6"/>
      <c r="Q711" s="6"/>
      <c r="R711" s="6"/>
      <c r="S711" s="6"/>
      <c r="T711" s="6"/>
      <c r="U711" s="6"/>
      <c r="V711" s="6"/>
      <c r="W711" s="6"/>
      <c r="X711" s="6"/>
      <c r="Y711" s="6"/>
      <c r="Z711" s="6"/>
      <c r="AA711" s="6"/>
    </row>
    <row r="712" spans="1:27" ht="14.25">
      <c r="A712" s="6"/>
      <c r="B712" s="6"/>
      <c r="C712" s="6"/>
      <c r="D712" s="6"/>
      <c r="E712" s="6"/>
      <c r="F712" s="6"/>
      <c r="G712" s="6"/>
      <c r="H712" s="6"/>
      <c r="I712" s="6"/>
      <c r="J712" s="6"/>
      <c r="K712" s="6"/>
      <c r="L712" s="6"/>
      <c r="M712" s="6"/>
      <c r="N712" s="6"/>
      <c r="O712" s="6"/>
      <c r="P712" s="6"/>
      <c r="Q712" s="6"/>
      <c r="R712" s="6"/>
      <c r="S712" s="6"/>
      <c r="T712" s="6"/>
      <c r="U712" s="6"/>
      <c r="V712" s="6"/>
      <c r="W712" s="6"/>
      <c r="X712" s="6"/>
      <c r="Y712" s="6"/>
      <c r="Z712" s="6"/>
      <c r="AA712" s="6"/>
    </row>
    <row r="713" spans="1:27" ht="14.25">
      <c r="A713" s="6"/>
      <c r="B713" s="6"/>
      <c r="C713" s="6"/>
      <c r="D713" s="6"/>
      <c r="E713" s="6"/>
      <c r="F713" s="6"/>
      <c r="G713" s="6"/>
      <c r="H713" s="6"/>
      <c r="I713" s="6"/>
      <c r="J713" s="6"/>
      <c r="K713" s="6"/>
      <c r="L713" s="6"/>
      <c r="M713" s="6"/>
      <c r="N713" s="6"/>
      <c r="O713" s="6"/>
      <c r="P713" s="6"/>
      <c r="Q713" s="6"/>
      <c r="R713" s="6"/>
      <c r="S713" s="6"/>
      <c r="T713" s="6"/>
      <c r="U713" s="6"/>
      <c r="V713" s="6"/>
      <c r="W713" s="6"/>
      <c r="X713" s="6"/>
      <c r="Y713" s="6"/>
      <c r="Z713" s="6"/>
      <c r="AA713" s="6"/>
    </row>
    <row r="714" spans="1:27" ht="14.25">
      <c r="A714" s="6"/>
      <c r="B714" s="6"/>
      <c r="C714" s="6"/>
      <c r="D714" s="6"/>
      <c r="E714" s="6"/>
      <c r="F714" s="6"/>
      <c r="G714" s="6"/>
      <c r="H714" s="6"/>
      <c r="I714" s="6"/>
      <c r="J714" s="6"/>
      <c r="K714" s="6"/>
      <c r="L714" s="6"/>
      <c r="M714" s="6"/>
      <c r="N714" s="6"/>
      <c r="O714" s="6"/>
      <c r="P714" s="6"/>
      <c r="Q714" s="6"/>
      <c r="R714" s="6"/>
      <c r="S714" s="6"/>
      <c r="T714" s="6"/>
      <c r="U714" s="6"/>
      <c r="V714" s="6"/>
      <c r="W714" s="6"/>
      <c r="X714" s="6"/>
      <c r="Y714" s="6"/>
      <c r="Z714" s="6"/>
      <c r="AA714" s="6"/>
    </row>
    <row r="715" spans="1:27" ht="14.25">
      <c r="A715" s="6"/>
      <c r="B715" s="6"/>
      <c r="C715" s="6"/>
      <c r="D715" s="6"/>
      <c r="E715" s="6"/>
      <c r="F715" s="6"/>
      <c r="G715" s="6"/>
      <c r="H715" s="6"/>
      <c r="I715" s="6"/>
      <c r="J715" s="6"/>
      <c r="K715" s="6"/>
      <c r="L715" s="6"/>
      <c r="M715" s="6"/>
      <c r="N715" s="6"/>
      <c r="O715" s="6"/>
      <c r="P715" s="6"/>
      <c r="Q715" s="6"/>
      <c r="R715" s="6"/>
      <c r="S715" s="6"/>
      <c r="T715" s="6"/>
      <c r="U715" s="6"/>
      <c r="V715" s="6"/>
      <c r="W715" s="6"/>
      <c r="X715" s="6"/>
      <c r="Y715" s="6"/>
      <c r="Z715" s="6"/>
      <c r="AA715" s="6"/>
    </row>
    <row r="716" spans="1:27" ht="14.25">
      <c r="A716" s="6"/>
      <c r="B716" s="6"/>
      <c r="C716" s="6"/>
      <c r="D716" s="6"/>
      <c r="E716" s="6"/>
      <c r="F716" s="6"/>
      <c r="G716" s="6"/>
      <c r="H716" s="6"/>
      <c r="I716" s="6"/>
      <c r="J716" s="6"/>
      <c r="K716" s="6"/>
      <c r="L716" s="6"/>
      <c r="M716" s="6"/>
      <c r="N716" s="6"/>
      <c r="O716" s="6"/>
      <c r="P716" s="6"/>
      <c r="Q716" s="6"/>
      <c r="R716" s="6"/>
      <c r="S716" s="6"/>
      <c r="T716" s="6"/>
      <c r="U716" s="6"/>
      <c r="V716" s="6"/>
      <c r="W716" s="6"/>
      <c r="X716" s="6"/>
      <c r="Y716" s="6"/>
      <c r="Z716" s="6"/>
      <c r="AA716" s="6"/>
    </row>
    <row r="717" spans="1:27" ht="14.25">
      <c r="A717" s="6"/>
      <c r="B717" s="6"/>
      <c r="C717" s="6"/>
      <c r="D717" s="6"/>
      <c r="E717" s="6"/>
      <c r="F717" s="6"/>
      <c r="G717" s="6"/>
      <c r="H717" s="6"/>
      <c r="I717" s="6"/>
      <c r="J717" s="6"/>
      <c r="K717" s="6"/>
      <c r="L717" s="6"/>
      <c r="M717" s="6"/>
      <c r="N717" s="6"/>
      <c r="O717" s="6"/>
      <c r="P717" s="6"/>
      <c r="Q717" s="6"/>
      <c r="R717" s="6"/>
      <c r="S717" s="6"/>
      <c r="T717" s="6"/>
      <c r="U717" s="6"/>
      <c r="V717" s="6"/>
      <c r="W717" s="6"/>
      <c r="X717" s="6"/>
      <c r="Y717" s="6"/>
      <c r="Z717" s="6"/>
      <c r="AA717" s="6"/>
    </row>
    <row r="718" spans="1:27" ht="14.25">
      <c r="A718" s="6"/>
      <c r="B718" s="6"/>
      <c r="C718" s="6"/>
      <c r="D718" s="6"/>
      <c r="E718" s="6"/>
      <c r="F718" s="6"/>
      <c r="G718" s="6"/>
      <c r="H718" s="6"/>
      <c r="I718" s="6"/>
      <c r="J718" s="6"/>
      <c r="K718" s="6"/>
      <c r="L718" s="6"/>
      <c r="M718" s="6"/>
      <c r="N718" s="6"/>
      <c r="O718" s="6"/>
      <c r="P718" s="6"/>
      <c r="Q718" s="6"/>
      <c r="R718" s="6"/>
      <c r="S718" s="6"/>
      <c r="T718" s="6"/>
      <c r="U718" s="6"/>
      <c r="V718" s="6"/>
      <c r="W718" s="6"/>
      <c r="X718" s="6"/>
      <c r="Y718" s="6"/>
      <c r="Z718" s="6"/>
      <c r="AA718" s="6"/>
    </row>
    <row r="719" spans="1:27" ht="14.25">
      <c r="A719" s="6"/>
      <c r="B719" s="6"/>
      <c r="C719" s="6"/>
      <c r="D719" s="6"/>
      <c r="E719" s="6"/>
      <c r="F719" s="6"/>
      <c r="G719" s="6"/>
      <c r="H719" s="6"/>
      <c r="I719" s="6"/>
      <c r="J719" s="6"/>
      <c r="K719" s="6"/>
      <c r="L719" s="6"/>
      <c r="M719" s="6"/>
      <c r="N719" s="6"/>
      <c r="O719" s="6"/>
      <c r="P719" s="6"/>
      <c r="Q719" s="6"/>
      <c r="R719" s="6"/>
      <c r="S719" s="6"/>
      <c r="T719" s="6"/>
      <c r="U719" s="6"/>
      <c r="V719" s="6"/>
      <c r="W719" s="6"/>
      <c r="X719" s="6"/>
      <c r="Y719" s="6"/>
      <c r="Z719" s="6"/>
      <c r="AA719" s="6"/>
    </row>
    <row r="720" spans="1:27" ht="14.25">
      <c r="A720" s="6"/>
      <c r="B720" s="6"/>
      <c r="C720" s="6"/>
      <c r="D720" s="6"/>
      <c r="E720" s="6"/>
      <c r="F720" s="6"/>
      <c r="G720" s="6"/>
      <c r="H720" s="6"/>
      <c r="I720" s="6"/>
      <c r="J720" s="6"/>
      <c r="K720" s="6"/>
      <c r="L720" s="6"/>
      <c r="M720" s="6"/>
      <c r="N720" s="6"/>
      <c r="O720" s="6"/>
      <c r="P720" s="6"/>
      <c r="Q720" s="6"/>
      <c r="R720" s="6"/>
      <c r="S720" s="6"/>
      <c r="T720" s="6"/>
      <c r="U720" s="6"/>
      <c r="V720" s="6"/>
      <c r="W720" s="6"/>
      <c r="X720" s="6"/>
      <c r="Y720" s="6"/>
      <c r="Z720" s="6"/>
      <c r="AA720" s="6"/>
    </row>
    <row r="721" spans="1:27" ht="14.25">
      <c r="A721" s="6"/>
      <c r="B721" s="6"/>
      <c r="C721" s="6"/>
      <c r="D721" s="6"/>
      <c r="E721" s="6"/>
      <c r="F721" s="6"/>
      <c r="G721" s="6"/>
      <c r="H721" s="6"/>
      <c r="I721" s="6"/>
      <c r="J721" s="6"/>
      <c r="K721" s="6"/>
      <c r="L721" s="6"/>
      <c r="M721" s="6"/>
      <c r="N721" s="6"/>
      <c r="O721" s="6"/>
      <c r="P721" s="6"/>
      <c r="Q721" s="6"/>
      <c r="R721" s="6"/>
      <c r="S721" s="6"/>
      <c r="T721" s="6"/>
      <c r="U721" s="6"/>
      <c r="V721" s="6"/>
      <c r="W721" s="6"/>
      <c r="X721" s="6"/>
      <c r="Y721" s="6"/>
      <c r="Z721" s="6"/>
      <c r="AA721" s="6"/>
    </row>
    <row r="722" spans="1:27" ht="14.25">
      <c r="A722" s="6"/>
      <c r="B722" s="6"/>
      <c r="C722" s="6"/>
      <c r="D722" s="6"/>
      <c r="E722" s="6"/>
      <c r="F722" s="6"/>
      <c r="G722" s="6"/>
      <c r="H722" s="6"/>
      <c r="I722" s="6"/>
      <c r="J722" s="6"/>
      <c r="K722" s="6"/>
      <c r="L722" s="6"/>
      <c r="M722" s="6"/>
      <c r="N722" s="6"/>
      <c r="O722" s="6"/>
      <c r="P722" s="6"/>
      <c r="Q722" s="6"/>
      <c r="R722" s="6"/>
      <c r="S722" s="6"/>
      <c r="T722" s="6"/>
      <c r="U722" s="6"/>
      <c r="V722" s="6"/>
      <c r="W722" s="6"/>
      <c r="X722" s="6"/>
      <c r="Y722" s="6"/>
      <c r="Z722" s="6"/>
      <c r="AA722" s="6"/>
    </row>
    <row r="723" spans="1:27" ht="14.25">
      <c r="A723" s="6"/>
      <c r="B723" s="6"/>
      <c r="C723" s="6"/>
      <c r="D723" s="6"/>
      <c r="E723" s="6"/>
      <c r="F723" s="6"/>
      <c r="G723" s="6"/>
      <c r="H723" s="6"/>
      <c r="I723" s="6"/>
      <c r="J723" s="6"/>
      <c r="K723" s="6"/>
      <c r="L723" s="6"/>
      <c r="M723" s="6"/>
      <c r="N723" s="6"/>
      <c r="O723" s="6"/>
      <c r="P723" s="6"/>
      <c r="Q723" s="6"/>
      <c r="R723" s="6"/>
      <c r="S723" s="6"/>
      <c r="T723" s="6"/>
      <c r="U723" s="6"/>
      <c r="V723" s="6"/>
      <c r="W723" s="6"/>
      <c r="X723" s="6"/>
      <c r="Y723" s="6"/>
      <c r="Z723" s="6"/>
      <c r="AA723" s="6"/>
    </row>
    <row r="724" spans="1:27" ht="14.25">
      <c r="A724" s="6"/>
      <c r="B724" s="6"/>
      <c r="C724" s="6"/>
      <c r="D724" s="6"/>
      <c r="E724" s="6"/>
      <c r="F724" s="6"/>
      <c r="G724" s="6"/>
      <c r="H724" s="6"/>
      <c r="I724" s="6"/>
      <c r="J724" s="6"/>
      <c r="K724" s="6"/>
      <c r="L724" s="6"/>
      <c r="M724" s="6"/>
      <c r="N724" s="6"/>
      <c r="O724" s="6"/>
      <c r="P724" s="6"/>
      <c r="Q724" s="6"/>
      <c r="R724" s="6"/>
      <c r="S724" s="6"/>
      <c r="T724" s="6"/>
      <c r="U724" s="6"/>
      <c r="V724" s="6"/>
      <c r="W724" s="6"/>
      <c r="X724" s="6"/>
      <c r="Y724" s="6"/>
      <c r="Z724" s="6"/>
      <c r="AA724" s="6"/>
    </row>
    <row r="725" spans="1:27" ht="14.25">
      <c r="A725" s="6"/>
      <c r="B725" s="6"/>
      <c r="C725" s="6"/>
      <c r="D725" s="6"/>
      <c r="E725" s="6"/>
      <c r="F725" s="6"/>
      <c r="G725" s="6"/>
      <c r="H725" s="6"/>
      <c r="I725" s="6"/>
      <c r="J725" s="6"/>
      <c r="K725" s="6"/>
      <c r="L725" s="6"/>
      <c r="M725" s="6"/>
      <c r="N725" s="6"/>
      <c r="O725" s="6"/>
      <c r="P725" s="6"/>
      <c r="Q725" s="6"/>
      <c r="R725" s="6"/>
      <c r="S725" s="6"/>
      <c r="T725" s="6"/>
      <c r="U725" s="6"/>
      <c r="V725" s="6"/>
      <c r="W725" s="6"/>
      <c r="X725" s="6"/>
      <c r="Y725" s="6"/>
      <c r="Z725" s="6"/>
      <c r="AA725" s="6"/>
    </row>
    <row r="726" spans="1:27" ht="14.25">
      <c r="A726" s="6"/>
      <c r="B726" s="6"/>
      <c r="C726" s="6"/>
      <c r="D726" s="6"/>
      <c r="E726" s="6"/>
      <c r="F726" s="6"/>
      <c r="G726" s="6"/>
      <c r="H726" s="6"/>
      <c r="I726" s="6"/>
      <c r="J726" s="6"/>
      <c r="K726" s="6"/>
      <c r="L726" s="6"/>
      <c r="M726" s="6"/>
      <c r="N726" s="6"/>
      <c r="O726" s="6"/>
      <c r="P726" s="6"/>
      <c r="Q726" s="6"/>
      <c r="R726" s="6"/>
      <c r="S726" s="6"/>
      <c r="T726" s="6"/>
      <c r="U726" s="6"/>
      <c r="V726" s="6"/>
      <c r="W726" s="6"/>
      <c r="X726" s="6"/>
      <c r="Y726" s="6"/>
      <c r="Z726" s="6"/>
      <c r="AA726" s="6"/>
    </row>
    <row r="727" spans="1:27" ht="14.25">
      <c r="A727" s="6"/>
      <c r="B727" s="6"/>
      <c r="C727" s="6"/>
      <c r="D727" s="6"/>
      <c r="E727" s="6"/>
      <c r="F727" s="6"/>
      <c r="G727" s="6"/>
      <c r="H727" s="6"/>
      <c r="I727" s="6"/>
      <c r="J727" s="6"/>
      <c r="K727" s="6"/>
      <c r="L727" s="6"/>
      <c r="M727" s="6"/>
      <c r="N727" s="6"/>
      <c r="O727" s="6"/>
      <c r="P727" s="6"/>
      <c r="Q727" s="6"/>
      <c r="R727" s="6"/>
      <c r="S727" s="6"/>
      <c r="T727" s="6"/>
      <c r="U727" s="6"/>
      <c r="V727" s="6"/>
      <c r="W727" s="6"/>
      <c r="X727" s="6"/>
      <c r="Y727" s="6"/>
      <c r="Z727" s="6"/>
      <c r="AA727" s="6"/>
    </row>
    <row r="728" spans="1:27" ht="14.25">
      <c r="A728" s="6"/>
      <c r="B728" s="6"/>
      <c r="C728" s="6"/>
      <c r="D728" s="6"/>
      <c r="E728" s="6"/>
      <c r="F728" s="6"/>
      <c r="G728" s="6"/>
      <c r="H728" s="6"/>
      <c r="I728" s="6"/>
      <c r="J728" s="6"/>
      <c r="K728" s="6"/>
      <c r="L728" s="6"/>
      <c r="M728" s="6"/>
      <c r="N728" s="6"/>
      <c r="O728" s="6"/>
      <c r="P728" s="6"/>
      <c r="Q728" s="6"/>
      <c r="R728" s="6"/>
      <c r="S728" s="6"/>
      <c r="T728" s="6"/>
      <c r="U728" s="6"/>
      <c r="V728" s="6"/>
      <c r="W728" s="6"/>
      <c r="X728" s="6"/>
      <c r="Y728" s="6"/>
      <c r="Z728" s="6"/>
      <c r="AA728" s="6"/>
    </row>
    <row r="729" spans="1:27" ht="14.25">
      <c r="A729" s="6"/>
      <c r="B729" s="6"/>
      <c r="C729" s="6"/>
      <c r="D729" s="6"/>
      <c r="E729" s="6"/>
      <c r="F729" s="6"/>
      <c r="G729" s="6"/>
      <c r="H729" s="6"/>
      <c r="I729" s="6"/>
      <c r="J729" s="6"/>
      <c r="K729" s="6"/>
      <c r="L729" s="6"/>
      <c r="M729" s="6"/>
      <c r="N729" s="6"/>
      <c r="O729" s="6"/>
      <c r="P729" s="6"/>
      <c r="Q729" s="6"/>
      <c r="R729" s="6"/>
      <c r="S729" s="6"/>
      <c r="T729" s="6"/>
      <c r="U729" s="6"/>
      <c r="V729" s="6"/>
      <c r="W729" s="6"/>
      <c r="X729" s="6"/>
      <c r="Y729" s="6"/>
      <c r="Z729" s="6"/>
      <c r="AA729" s="6"/>
    </row>
    <row r="730" spans="1:27" ht="14.25">
      <c r="A730" s="6"/>
      <c r="B730" s="6"/>
      <c r="C730" s="6"/>
      <c r="D730" s="6"/>
      <c r="E730" s="6"/>
      <c r="F730" s="6"/>
      <c r="G730" s="6"/>
      <c r="H730" s="6"/>
      <c r="I730" s="6"/>
      <c r="J730" s="6"/>
      <c r="K730" s="6"/>
      <c r="L730" s="6"/>
      <c r="M730" s="6"/>
      <c r="N730" s="6"/>
      <c r="O730" s="6"/>
      <c r="P730" s="6"/>
      <c r="Q730" s="6"/>
      <c r="R730" s="6"/>
      <c r="S730" s="6"/>
      <c r="T730" s="6"/>
      <c r="U730" s="6"/>
      <c r="V730" s="6"/>
      <c r="W730" s="6"/>
      <c r="X730" s="6"/>
      <c r="Y730" s="6"/>
      <c r="Z730" s="6"/>
      <c r="AA730" s="6"/>
    </row>
    <row r="731" spans="1:27" ht="14.25">
      <c r="A731" s="6"/>
      <c r="B731" s="6"/>
      <c r="C731" s="6"/>
      <c r="D731" s="6"/>
      <c r="E731" s="6"/>
      <c r="F731" s="6"/>
      <c r="G731" s="6"/>
      <c r="H731" s="6"/>
      <c r="I731" s="6"/>
      <c r="J731" s="6"/>
      <c r="K731" s="6"/>
      <c r="L731" s="6"/>
      <c r="M731" s="6"/>
      <c r="N731" s="6"/>
      <c r="O731" s="6"/>
      <c r="P731" s="6"/>
      <c r="Q731" s="6"/>
      <c r="R731" s="6"/>
      <c r="S731" s="6"/>
      <c r="T731" s="6"/>
      <c r="U731" s="6"/>
      <c r="V731" s="6"/>
      <c r="W731" s="6"/>
      <c r="X731" s="6"/>
      <c r="Y731" s="6"/>
      <c r="Z731" s="6"/>
      <c r="AA731" s="6"/>
    </row>
    <row r="732" spans="1:27" ht="14.25">
      <c r="A732" s="6"/>
      <c r="B732" s="6"/>
      <c r="C732" s="6"/>
      <c r="D732" s="6"/>
      <c r="E732" s="6"/>
      <c r="F732" s="6"/>
      <c r="G732" s="6"/>
      <c r="H732" s="6"/>
      <c r="I732" s="6"/>
      <c r="J732" s="6"/>
      <c r="K732" s="6"/>
      <c r="L732" s="6"/>
      <c r="M732" s="6"/>
      <c r="N732" s="6"/>
      <c r="O732" s="6"/>
      <c r="P732" s="6"/>
      <c r="Q732" s="6"/>
      <c r="R732" s="6"/>
      <c r="S732" s="6"/>
      <c r="T732" s="6"/>
      <c r="U732" s="6"/>
      <c r="V732" s="6"/>
      <c r="W732" s="6"/>
      <c r="X732" s="6"/>
      <c r="Y732" s="6"/>
      <c r="Z732" s="6"/>
      <c r="AA732" s="6"/>
    </row>
    <row r="733" spans="1:27" ht="14.25">
      <c r="A733" s="6"/>
      <c r="B733" s="6"/>
      <c r="C733" s="6"/>
      <c r="D733" s="6"/>
      <c r="E733" s="6"/>
      <c r="F733" s="6"/>
      <c r="G733" s="6"/>
      <c r="H733" s="6"/>
      <c r="I733" s="6"/>
      <c r="J733" s="6"/>
      <c r="K733" s="6"/>
      <c r="L733" s="6"/>
      <c r="M733" s="6"/>
      <c r="N733" s="6"/>
      <c r="O733" s="6"/>
      <c r="P733" s="6"/>
      <c r="Q733" s="6"/>
      <c r="R733" s="6"/>
      <c r="S733" s="6"/>
      <c r="T733" s="6"/>
      <c r="U733" s="6"/>
      <c r="V733" s="6"/>
      <c r="W733" s="6"/>
      <c r="X733" s="6"/>
      <c r="Y733" s="6"/>
      <c r="Z733" s="6"/>
      <c r="AA733" s="6"/>
    </row>
    <row r="734" spans="1:27" ht="14.25">
      <c r="A734" s="6"/>
      <c r="B734" s="6"/>
      <c r="C734" s="6"/>
      <c r="D734" s="6"/>
      <c r="E734" s="6"/>
      <c r="F734" s="6"/>
      <c r="G734" s="6"/>
      <c r="H734" s="6"/>
      <c r="I734" s="6"/>
      <c r="J734" s="6"/>
      <c r="K734" s="6"/>
      <c r="L734" s="6"/>
      <c r="M734" s="6"/>
      <c r="N734" s="6"/>
      <c r="O734" s="6"/>
      <c r="P734" s="6"/>
      <c r="Q734" s="6"/>
      <c r="R734" s="6"/>
      <c r="S734" s="6"/>
      <c r="T734" s="6"/>
      <c r="U734" s="6"/>
      <c r="V734" s="6"/>
      <c r="W734" s="6"/>
      <c r="X734" s="6"/>
      <c r="Y734" s="6"/>
      <c r="Z734" s="6"/>
      <c r="AA734" s="6"/>
    </row>
    <row r="735" spans="1:27" ht="14.25">
      <c r="A735" s="6"/>
      <c r="B735" s="6"/>
      <c r="C735" s="6"/>
      <c r="D735" s="6"/>
      <c r="E735" s="6"/>
      <c r="F735" s="6"/>
      <c r="G735" s="6"/>
      <c r="H735" s="6"/>
      <c r="I735" s="6"/>
      <c r="J735" s="6"/>
      <c r="K735" s="6"/>
      <c r="L735" s="6"/>
      <c r="M735" s="6"/>
      <c r="N735" s="6"/>
      <c r="O735" s="6"/>
      <c r="P735" s="6"/>
      <c r="Q735" s="6"/>
      <c r="R735" s="6"/>
      <c r="S735" s="6"/>
      <c r="T735" s="6"/>
      <c r="U735" s="6"/>
      <c r="V735" s="6"/>
      <c r="W735" s="6"/>
      <c r="X735" s="6"/>
      <c r="Y735" s="6"/>
      <c r="Z735" s="6"/>
      <c r="AA735" s="6"/>
    </row>
    <row r="736" spans="1:27" ht="14.25">
      <c r="A736" s="6"/>
      <c r="B736" s="6"/>
      <c r="C736" s="6"/>
      <c r="D736" s="6"/>
      <c r="E736" s="6"/>
      <c r="F736" s="6"/>
      <c r="G736" s="6"/>
      <c r="H736" s="6"/>
      <c r="I736" s="6"/>
      <c r="J736" s="6"/>
      <c r="K736" s="6"/>
      <c r="L736" s="6"/>
      <c r="M736" s="6"/>
      <c r="N736" s="6"/>
      <c r="O736" s="6"/>
      <c r="P736" s="6"/>
      <c r="Q736" s="6"/>
      <c r="R736" s="6"/>
      <c r="S736" s="6"/>
      <c r="T736" s="6"/>
      <c r="U736" s="6"/>
      <c r="V736" s="6"/>
      <c r="W736" s="6"/>
      <c r="X736" s="6"/>
      <c r="Y736" s="6"/>
      <c r="Z736" s="6"/>
      <c r="AA736" s="6"/>
    </row>
    <row r="737" spans="1:27" ht="14.25">
      <c r="A737" s="6"/>
      <c r="B737" s="6"/>
      <c r="C737" s="6"/>
      <c r="D737" s="6"/>
      <c r="E737" s="6"/>
      <c r="F737" s="6"/>
      <c r="G737" s="6"/>
      <c r="H737" s="6"/>
      <c r="I737" s="6"/>
      <c r="J737" s="6"/>
      <c r="K737" s="6"/>
      <c r="L737" s="6"/>
      <c r="M737" s="6"/>
      <c r="N737" s="6"/>
      <c r="O737" s="6"/>
      <c r="P737" s="6"/>
      <c r="Q737" s="6"/>
      <c r="R737" s="6"/>
      <c r="S737" s="6"/>
      <c r="T737" s="6"/>
      <c r="U737" s="6"/>
      <c r="V737" s="6"/>
      <c r="W737" s="6"/>
      <c r="X737" s="6"/>
      <c r="Y737" s="6"/>
      <c r="Z737" s="6"/>
      <c r="AA737" s="6"/>
    </row>
    <row r="738" spans="1:27" ht="14.25">
      <c r="A738" s="6"/>
      <c r="B738" s="6"/>
      <c r="C738" s="6"/>
      <c r="D738" s="6"/>
      <c r="E738" s="6"/>
      <c r="F738" s="6"/>
      <c r="G738" s="6"/>
      <c r="H738" s="6"/>
      <c r="I738" s="6"/>
      <c r="J738" s="6"/>
      <c r="K738" s="6"/>
      <c r="L738" s="6"/>
      <c r="M738" s="6"/>
      <c r="N738" s="6"/>
      <c r="O738" s="6"/>
      <c r="P738" s="6"/>
      <c r="Q738" s="6"/>
      <c r="R738" s="6"/>
      <c r="S738" s="6"/>
      <c r="T738" s="6"/>
      <c r="U738" s="6"/>
      <c r="V738" s="6"/>
      <c r="W738" s="6"/>
      <c r="X738" s="6"/>
      <c r="Y738" s="6"/>
      <c r="Z738" s="6"/>
      <c r="AA738" s="6"/>
    </row>
    <row r="739" spans="1:27" ht="14.25">
      <c r="A739" s="6"/>
      <c r="B739" s="6"/>
      <c r="C739" s="6"/>
      <c r="D739" s="6"/>
      <c r="E739" s="6"/>
      <c r="F739" s="6"/>
      <c r="G739" s="6"/>
      <c r="H739" s="6"/>
      <c r="I739" s="6"/>
      <c r="J739" s="6"/>
      <c r="K739" s="6"/>
      <c r="L739" s="6"/>
      <c r="M739" s="6"/>
      <c r="N739" s="6"/>
      <c r="O739" s="6"/>
      <c r="P739" s="6"/>
      <c r="Q739" s="6"/>
      <c r="R739" s="6"/>
      <c r="S739" s="6"/>
      <c r="T739" s="6"/>
      <c r="U739" s="6"/>
      <c r="V739" s="6"/>
      <c r="W739" s="6"/>
      <c r="X739" s="6"/>
      <c r="Y739" s="6"/>
      <c r="Z739" s="6"/>
      <c r="AA739" s="6"/>
    </row>
    <row r="740" spans="1:27" ht="14.25">
      <c r="A740" s="6"/>
      <c r="B740" s="6"/>
      <c r="C740" s="6"/>
      <c r="D740" s="6"/>
      <c r="E740" s="6"/>
      <c r="F740" s="6"/>
      <c r="G740" s="6"/>
      <c r="H740" s="6"/>
      <c r="I740" s="6"/>
      <c r="J740" s="6"/>
      <c r="K740" s="6"/>
      <c r="L740" s="6"/>
      <c r="M740" s="6"/>
      <c r="N740" s="6"/>
      <c r="O740" s="6"/>
      <c r="P740" s="6"/>
      <c r="Q740" s="6"/>
      <c r="R740" s="6"/>
      <c r="S740" s="6"/>
      <c r="T740" s="6"/>
      <c r="U740" s="6"/>
      <c r="V740" s="6"/>
      <c r="W740" s="6"/>
      <c r="X740" s="6"/>
      <c r="Y740" s="6"/>
      <c r="Z740" s="6"/>
      <c r="AA740" s="6"/>
    </row>
    <row r="741" spans="1:27" ht="14.25">
      <c r="A741" s="6"/>
      <c r="B741" s="6"/>
      <c r="C741" s="6"/>
      <c r="D741" s="6"/>
      <c r="E741" s="6"/>
      <c r="F741" s="6"/>
      <c r="G741" s="6"/>
      <c r="H741" s="6"/>
      <c r="I741" s="6"/>
      <c r="J741" s="6"/>
      <c r="K741" s="6"/>
      <c r="L741" s="6"/>
      <c r="M741" s="6"/>
      <c r="N741" s="6"/>
      <c r="O741" s="6"/>
      <c r="P741" s="6"/>
      <c r="Q741" s="6"/>
      <c r="R741" s="6"/>
      <c r="S741" s="6"/>
      <c r="T741" s="6"/>
      <c r="U741" s="6"/>
      <c r="V741" s="6"/>
      <c r="W741" s="6"/>
      <c r="X741" s="6"/>
      <c r="Y741" s="6"/>
      <c r="Z741" s="6"/>
      <c r="AA741" s="6"/>
    </row>
    <row r="742" spans="1:27" ht="14.25">
      <c r="A742" s="6"/>
      <c r="B742" s="6"/>
      <c r="C742" s="6"/>
      <c r="D742" s="6"/>
      <c r="E742" s="6"/>
      <c r="F742" s="6"/>
      <c r="G742" s="6"/>
      <c r="H742" s="6"/>
      <c r="I742" s="6"/>
      <c r="J742" s="6"/>
      <c r="K742" s="6"/>
      <c r="L742" s="6"/>
      <c r="M742" s="6"/>
      <c r="N742" s="6"/>
      <c r="O742" s="6"/>
      <c r="P742" s="6"/>
      <c r="Q742" s="6"/>
      <c r="R742" s="6"/>
      <c r="S742" s="6"/>
      <c r="T742" s="6"/>
      <c r="U742" s="6"/>
      <c r="V742" s="6"/>
      <c r="W742" s="6"/>
      <c r="X742" s="6"/>
      <c r="Y742" s="6"/>
      <c r="Z742" s="6"/>
      <c r="AA742" s="6"/>
    </row>
    <row r="743" spans="1:27" ht="14.25">
      <c r="A743" s="6"/>
      <c r="B743" s="6"/>
      <c r="C743" s="6"/>
      <c r="D743" s="6"/>
      <c r="E743" s="6"/>
      <c r="F743" s="6"/>
      <c r="G743" s="6"/>
      <c r="H743" s="6"/>
      <c r="I743" s="6"/>
      <c r="J743" s="6"/>
      <c r="K743" s="6"/>
      <c r="L743" s="6"/>
      <c r="M743" s="6"/>
      <c r="N743" s="6"/>
      <c r="O743" s="6"/>
      <c r="P743" s="6"/>
      <c r="Q743" s="6"/>
      <c r="R743" s="6"/>
      <c r="S743" s="6"/>
      <c r="T743" s="6"/>
      <c r="U743" s="6"/>
      <c r="V743" s="6"/>
      <c r="W743" s="6"/>
      <c r="X743" s="6"/>
      <c r="Y743" s="6"/>
      <c r="Z743" s="6"/>
      <c r="AA743" s="6"/>
    </row>
    <row r="744" spans="1:27" ht="14.25">
      <c r="A744" s="6"/>
      <c r="B744" s="6"/>
      <c r="C744" s="6"/>
      <c r="D744" s="6"/>
      <c r="E744" s="6"/>
      <c r="F744" s="6"/>
      <c r="G744" s="6"/>
      <c r="H744" s="6"/>
      <c r="I744" s="6"/>
      <c r="J744" s="6"/>
      <c r="K744" s="6"/>
      <c r="L744" s="6"/>
      <c r="M744" s="6"/>
      <c r="N744" s="6"/>
      <c r="O744" s="6"/>
      <c r="P744" s="6"/>
      <c r="Q744" s="6"/>
      <c r="R744" s="6"/>
      <c r="S744" s="6"/>
      <c r="T744" s="6"/>
      <c r="U744" s="6"/>
      <c r="V744" s="6"/>
      <c r="W744" s="6"/>
      <c r="X744" s="6"/>
      <c r="Y744" s="6"/>
      <c r="Z744" s="6"/>
      <c r="AA744" s="6"/>
    </row>
    <row r="745" spans="1:27" ht="14.25">
      <c r="A745" s="6"/>
      <c r="B745" s="6"/>
      <c r="C745" s="6"/>
      <c r="D745" s="6"/>
      <c r="E745" s="6"/>
      <c r="F745" s="6"/>
      <c r="G745" s="6"/>
      <c r="H745" s="6"/>
      <c r="I745" s="6"/>
      <c r="J745" s="6"/>
      <c r="K745" s="6"/>
      <c r="L745" s="6"/>
      <c r="M745" s="6"/>
      <c r="N745" s="6"/>
      <c r="O745" s="6"/>
      <c r="P745" s="6"/>
      <c r="Q745" s="6"/>
      <c r="R745" s="6"/>
      <c r="S745" s="6"/>
      <c r="T745" s="6"/>
      <c r="U745" s="6"/>
      <c r="V745" s="6"/>
      <c r="W745" s="6"/>
      <c r="X745" s="6"/>
      <c r="Y745" s="6"/>
      <c r="Z745" s="6"/>
      <c r="AA745" s="6"/>
    </row>
    <row r="746" spans="1:27" ht="14.25">
      <c r="A746" s="6"/>
      <c r="B746" s="6"/>
      <c r="C746" s="6"/>
      <c r="D746" s="6"/>
      <c r="E746" s="6"/>
      <c r="F746" s="6"/>
      <c r="G746" s="6"/>
      <c r="H746" s="6"/>
      <c r="I746" s="6"/>
      <c r="J746" s="6"/>
      <c r="K746" s="6"/>
      <c r="L746" s="6"/>
      <c r="M746" s="6"/>
      <c r="N746" s="6"/>
      <c r="O746" s="6"/>
      <c r="P746" s="6"/>
      <c r="Q746" s="6"/>
      <c r="R746" s="6"/>
      <c r="S746" s="6"/>
      <c r="T746" s="6"/>
      <c r="U746" s="6"/>
      <c r="V746" s="6"/>
      <c r="W746" s="6"/>
      <c r="X746" s="6"/>
      <c r="Y746" s="6"/>
      <c r="Z746" s="6"/>
      <c r="AA746" s="6"/>
    </row>
    <row r="747" spans="1:27" ht="14.25">
      <c r="A747" s="6"/>
      <c r="B747" s="6"/>
      <c r="C747" s="6"/>
      <c r="D747" s="6"/>
      <c r="E747" s="6"/>
      <c r="F747" s="6"/>
      <c r="G747" s="6"/>
      <c r="H747" s="6"/>
      <c r="I747" s="6"/>
      <c r="J747" s="6"/>
      <c r="K747" s="6"/>
      <c r="L747" s="6"/>
      <c r="M747" s="6"/>
      <c r="N747" s="6"/>
      <c r="O747" s="6"/>
      <c r="P747" s="6"/>
      <c r="Q747" s="6"/>
      <c r="R747" s="6"/>
      <c r="S747" s="6"/>
      <c r="T747" s="6"/>
      <c r="U747" s="6"/>
      <c r="V747" s="6"/>
      <c r="W747" s="6"/>
      <c r="X747" s="6"/>
      <c r="Y747" s="6"/>
      <c r="Z747" s="6"/>
      <c r="AA747" s="6"/>
    </row>
    <row r="748" spans="1:27" ht="14.25">
      <c r="A748" s="6"/>
      <c r="B748" s="6"/>
      <c r="C748" s="6"/>
      <c r="D748" s="6"/>
      <c r="E748" s="6"/>
      <c r="F748" s="6"/>
      <c r="G748" s="6"/>
      <c r="H748" s="6"/>
      <c r="I748" s="6"/>
      <c r="J748" s="6"/>
      <c r="K748" s="6"/>
      <c r="L748" s="6"/>
      <c r="M748" s="6"/>
      <c r="N748" s="6"/>
      <c r="O748" s="6"/>
      <c r="P748" s="6"/>
      <c r="Q748" s="6"/>
      <c r="R748" s="6"/>
      <c r="S748" s="6"/>
      <c r="T748" s="6"/>
      <c r="U748" s="6"/>
      <c r="V748" s="6"/>
      <c r="W748" s="6"/>
      <c r="X748" s="6"/>
      <c r="Y748" s="6"/>
      <c r="Z748" s="6"/>
      <c r="AA748" s="6"/>
    </row>
    <row r="749" spans="1:27" ht="14.25">
      <c r="A749" s="6"/>
      <c r="B749" s="6"/>
      <c r="C749" s="6"/>
      <c r="D749" s="6"/>
      <c r="E749" s="6"/>
      <c r="F749" s="6"/>
      <c r="G749" s="6"/>
      <c r="H749" s="6"/>
      <c r="I749" s="6"/>
      <c r="J749" s="6"/>
      <c r="K749" s="6"/>
      <c r="L749" s="6"/>
      <c r="M749" s="6"/>
      <c r="N749" s="6"/>
      <c r="O749" s="6"/>
      <c r="P749" s="6"/>
      <c r="Q749" s="6"/>
      <c r="R749" s="6"/>
      <c r="S749" s="6"/>
      <c r="T749" s="6"/>
      <c r="U749" s="6"/>
      <c r="V749" s="6"/>
      <c r="W749" s="6"/>
      <c r="X749" s="6"/>
      <c r="Y749" s="6"/>
      <c r="Z749" s="6"/>
      <c r="AA749" s="6"/>
    </row>
    <row r="750" spans="1:27" ht="14.25">
      <c r="A750" s="6"/>
      <c r="B750" s="6"/>
      <c r="C750" s="6"/>
      <c r="D750" s="6"/>
      <c r="E750" s="6"/>
      <c r="F750" s="6"/>
      <c r="G750" s="6"/>
      <c r="H750" s="6"/>
      <c r="I750" s="6"/>
      <c r="J750" s="6"/>
      <c r="K750" s="6"/>
      <c r="L750" s="6"/>
      <c r="M750" s="6"/>
      <c r="N750" s="6"/>
      <c r="O750" s="6"/>
      <c r="P750" s="6"/>
      <c r="Q750" s="6"/>
      <c r="R750" s="6"/>
      <c r="S750" s="6"/>
      <c r="T750" s="6"/>
      <c r="U750" s="6"/>
      <c r="V750" s="6"/>
      <c r="W750" s="6"/>
      <c r="X750" s="6"/>
      <c r="Y750" s="6"/>
      <c r="Z750" s="6"/>
      <c r="AA750" s="6"/>
    </row>
    <row r="751" spans="1:27" ht="14.25">
      <c r="A751" s="6"/>
      <c r="B751" s="6"/>
      <c r="C751" s="6"/>
      <c r="D751" s="6"/>
      <c r="E751" s="6"/>
      <c r="F751" s="6"/>
      <c r="G751" s="6"/>
      <c r="H751" s="6"/>
      <c r="I751" s="6"/>
      <c r="J751" s="6"/>
      <c r="K751" s="6"/>
      <c r="L751" s="6"/>
      <c r="M751" s="6"/>
      <c r="N751" s="6"/>
      <c r="O751" s="6"/>
      <c r="P751" s="6"/>
      <c r="Q751" s="6"/>
      <c r="R751" s="6"/>
      <c r="S751" s="6"/>
      <c r="T751" s="6"/>
      <c r="U751" s="6"/>
      <c r="V751" s="6"/>
      <c r="W751" s="6"/>
      <c r="X751" s="6"/>
      <c r="Y751" s="6"/>
      <c r="Z751" s="6"/>
      <c r="AA751" s="6"/>
    </row>
    <row r="752" spans="1:27" ht="14.25">
      <c r="A752" s="6"/>
      <c r="B752" s="6"/>
      <c r="C752" s="6"/>
      <c r="D752" s="6"/>
      <c r="E752" s="6"/>
      <c r="F752" s="6"/>
      <c r="G752" s="6"/>
      <c r="H752" s="6"/>
      <c r="I752" s="6"/>
      <c r="J752" s="6"/>
      <c r="K752" s="6"/>
      <c r="L752" s="6"/>
      <c r="M752" s="6"/>
      <c r="N752" s="6"/>
      <c r="O752" s="6"/>
      <c r="P752" s="6"/>
      <c r="Q752" s="6"/>
      <c r="R752" s="6"/>
      <c r="S752" s="6"/>
      <c r="T752" s="6"/>
      <c r="U752" s="6"/>
      <c r="V752" s="6"/>
      <c r="W752" s="6"/>
      <c r="X752" s="6"/>
      <c r="Y752" s="6"/>
      <c r="Z752" s="6"/>
      <c r="AA752" s="6"/>
    </row>
    <row r="753" spans="1:27" ht="14.25">
      <c r="A753" s="6"/>
      <c r="B753" s="6"/>
      <c r="C753" s="6"/>
      <c r="D753" s="6"/>
      <c r="E753" s="6"/>
      <c r="F753" s="6"/>
      <c r="G753" s="6"/>
      <c r="H753" s="6"/>
      <c r="I753" s="6"/>
      <c r="J753" s="6"/>
      <c r="K753" s="6"/>
      <c r="L753" s="6"/>
      <c r="M753" s="6"/>
      <c r="N753" s="6"/>
      <c r="O753" s="6"/>
      <c r="P753" s="6"/>
      <c r="Q753" s="6"/>
      <c r="R753" s="6"/>
      <c r="S753" s="6"/>
      <c r="T753" s="6"/>
      <c r="U753" s="6"/>
      <c r="V753" s="6"/>
      <c r="W753" s="6"/>
      <c r="X753" s="6"/>
      <c r="Y753" s="6"/>
      <c r="Z753" s="6"/>
      <c r="AA753" s="6"/>
    </row>
    <row r="754" spans="1:27" ht="14.25">
      <c r="A754" s="6"/>
      <c r="B754" s="6"/>
      <c r="C754" s="6"/>
      <c r="D754" s="6"/>
      <c r="E754" s="6"/>
      <c r="F754" s="6"/>
      <c r="G754" s="6"/>
      <c r="H754" s="6"/>
      <c r="I754" s="6"/>
      <c r="J754" s="6"/>
      <c r="K754" s="6"/>
      <c r="L754" s="6"/>
      <c r="M754" s="6"/>
      <c r="N754" s="6"/>
      <c r="O754" s="6"/>
      <c r="P754" s="6"/>
      <c r="Q754" s="6"/>
      <c r="R754" s="6"/>
      <c r="S754" s="6"/>
      <c r="T754" s="6"/>
      <c r="U754" s="6"/>
      <c r="V754" s="6"/>
      <c r="W754" s="6"/>
      <c r="X754" s="6"/>
      <c r="Y754" s="6"/>
      <c r="Z754" s="6"/>
      <c r="AA754" s="6"/>
    </row>
    <row r="755" spans="1:27" ht="14.25">
      <c r="A755" s="6"/>
      <c r="B755" s="6"/>
      <c r="C755" s="6"/>
      <c r="D755" s="6"/>
      <c r="E755" s="6"/>
      <c r="F755" s="6"/>
      <c r="G755" s="6"/>
      <c r="H755" s="6"/>
      <c r="I755" s="6"/>
      <c r="J755" s="6"/>
      <c r="K755" s="6"/>
      <c r="L755" s="6"/>
      <c r="M755" s="6"/>
      <c r="N755" s="6"/>
      <c r="O755" s="6"/>
      <c r="P755" s="6"/>
      <c r="Q755" s="6"/>
      <c r="R755" s="6"/>
      <c r="S755" s="6"/>
      <c r="T755" s="6"/>
      <c r="U755" s="6"/>
      <c r="V755" s="6"/>
      <c r="W755" s="6"/>
      <c r="X755" s="6"/>
      <c r="Y755" s="6"/>
      <c r="Z755" s="6"/>
      <c r="AA755" s="6"/>
    </row>
    <row r="756" spans="1:27" ht="14.25">
      <c r="A756" s="6"/>
      <c r="B756" s="6"/>
      <c r="C756" s="6"/>
      <c r="D756" s="6"/>
      <c r="E756" s="6"/>
      <c r="F756" s="6"/>
      <c r="G756" s="6"/>
      <c r="H756" s="6"/>
      <c r="I756" s="6"/>
      <c r="J756" s="6"/>
      <c r="K756" s="6"/>
      <c r="L756" s="6"/>
      <c r="M756" s="6"/>
      <c r="N756" s="6"/>
      <c r="O756" s="6"/>
      <c r="P756" s="6"/>
      <c r="Q756" s="6"/>
      <c r="R756" s="6"/>
      <c r="S756" s="6"/>
      <c r="T756" s="6"/>
      <c r="U756" s="6"/>
      <c r="V756" s="6"/>
      <c r="W756" s="6"/>
      <c r="X756" s="6"/>
      <c r="Y756" s="6"/>
      <c r="Z756" s="6"/>
      <c r="AA756" s="6"/>
    </row>
    <row r="757" spans="1:27" ht="14.25">
      <c r="A757" s="6"/>
      <c r="B757" s="6"/>
      <c r="C757" s="6"/>
      <c r="D757" s="6"/>
      <c r="E757" s="6"/>
      <c r="F757" s="6"/>
      <c r="G757" s="6"/>
      <c r="H757" s="6"/>
      <c r="I757" s="6"/>
      <c r="J757" s="6"/>
      <c r="K757" s="6"/>
      <c r="L757" s="6"/>
      <c r="M757" s="6"/>
      <c r="N757" s="6"/>
      <c r="O757" s="6"/>
      <c r="P757" s="6"/>
      <c r="Q757" s="6"/>
      <c r="R757" s="6"/>
      <c r="S757" s="6"/>
      <c r="T757" s="6"/>
      <c r="U757" s="6"/>
      <c r="V757" s="6"/>
      <c r="W757" s="6"/>
      <c r="X757" s="6"/>
      <c r="Y757" s="6"/>
      <c r="Z757" s="6"/>
      <c r="AA757" s="6"/>
    </row>
    <row r="758" spans="1:27" ht="14.25">
      <c r="A758" s="6"/>
      <c r="B758" s="6"/>
      <c r="C758" s="6"/>
      <c r="D758" s="6"/>
      <c r="E758" s="6"/>
      <c r="F758" s="6"/>
      <c r="G758" s="6"/>
      <c r="H758" s="6"/>
      <c r="I758" s="6"/>
      <c r="J758" s="6"/>
      <c r="K758" s="6"/>
      <c r="L758" s="6"/>
      <c r="M758" s="6"/>
      <c r="N758" s="6"/>
      <c r="O758" s="6"/>
      <c r="P758" s="6"/>
      <c r="Q758" s="6"/>
      <c r="R758" s="6"/>
      <c r="S758" s="6"/>
      <c r="T758" s="6"/>
      <c r="U758" s="6"/>
      <c r="V758" s="6"/>
      <c r="W758" s="6"/>
      <c r="X758" s="6"/>
      <c r="Y758" s="6"/>
      <c r="Z758" s="6"/>
      <c r="AA758" s="6"/>
    </row>
    <row r="759" spans="1:27" ht="14.25">
      <c r="A759" s="6"/>
      <c r="B759" s="6"/>
      <c r="C759" s="6"/>
      <c r="D759" s="6"/>
      <c r="E759" s="6"/>
      <c r="F759" s="6"/>
      <c r="G759" s="6"/>
      <c r="H759" s="6"/>
      <c r="I759" s="6"/>
      <c r="J759" s="6"/>
      <c r="K759" s="6"/>
      <c r="L759" s="6"/>
      <c r="M759" s="6"/>
      <c r="N759" s="6"/>
      <c r="O759" s="6"/>
      <c r="P759" s="6"/>
      <c r="Q759" s="6"/>
      <c r="R759" s="6"/>
      <c r="S759" s="6"/>
      <c r="T759" s="6"/>
      <c r="U759" s="6"/>
      <c r="V759" s="6"/>
      <c r="W759" s="6"/>
      <c r="X759" s="6"/>
      <c r="Y759" s="6"/>
      <c r="Z759" s="6"/>
      <c r="AA759" s="6"/>
    </row>
    <row r="760" spans="1:27" ht="14.25">
      <c r="A760" s="6"/>
      <c r="B760" s="6"/>
      <c r="C760" s="6"/>
      <c r="D760" s="6"/>
      <c r="E760" s="6"/>
      <c r="F760" s="6"/>
      <c r="G760" s="6"/>
      <c r="H760" s="6"/>
      <c r="I760" s="6"/>
      <c r="J760" s="6"/>
      <c r="K760" s="6"/>
      <c r="L760" s="6"/>
      <c r="M760" s="6"/>
      <c r="N760" s="6"/>
      <c r="O760" s="6"/>
      <c r="P760" s="6"/>
      <c r="Q760" s="6"/>
      <c r="R760" s="6"/>
      <c r="S760" s="6"/>
      <c r="T760" s="6"/>
      <c r="U760" s="6"/>
      <c r="V760" s="6"/>
      <c r="W760" s="6"/>
      <c r="X760" s="6"/>
      <c r="Y760" s="6"/>
      <c r="Z760" s="6"/>
      <c r="AA760" s="6"/>
    </row>
    <row r="761" spans="1:27" ht="14.25">
      <c r="A761" s="6"/>
      <c r="B761" s="6"/>
      <c r="C761" s="6"/>
      <c r="D761" s="6"/>
      <c r="E761" s="6"/>
      <c r="F761" s="6"/>
      <c r="G761" s="6"/>
      <c r="H761" s="6"/>
      <c r="I761" s="6"/>
      <c r="J761" s="6"/>
      <c r="K761" s="6"/>
      <c r="L761" s="6"/>
      <c r="M761" s="6"/>
      <c r="N761" s="6"/>
      <c r="O761" s="6"/>
      <c r="P761" s="6"/>
      <c r="Q761" s="6"/>
      <c r="R761" s="6"/>
      <c r="S761" s="6"/>
      <c r="T761" s="6"/>
      <c r="U761" s="6"/>
      <c r="V761" s="6"/>
      <c r="W761" s="6"/>
      <c r="X761" s="6"/>
      <c r="Y761" s="6"/>
      <c r="Z761" s="6"/>
      <c r="AA761" s="6"/>
    </row>
    <row r="762" spans="1:27" ht="14.25">
      <c r="A762" s="6"/>
      <c r="B762" s="6"/>
      <c r="C762" s="6"/>
      <c r="D762" s="6"/>
      <c r="E762" s="6"/>
      <c r="F762" s="6"/>
      <c r="G762" s="6"/>
      <c r="H762" s="6"/>
      <c r="I762" s="6"/>
      <c r="J762" s="6"/>
      <c r="K762" s="6"/>
      <c r="L762" s="6"/>
      <c r="M762" s="6"/>
      <c r="N762" s="6"/>
      <c r="O762" s="6"/>
      <c r="P762" s="6"/>
      <c r="Q762" s="6"/>
      <c r="R762" s="6"/>
      <c r="S762" s="6"/>
      <c r="T762" s="6"/>
      <c r="U762" s="6"/>
      <c r="V762" s="6"/>
      <c r="W762" s="6"/>
      <c r="X762" s="6"/>
      <c r="Y762" s="6"/>
      <c r="Z762" s="6"/>
      <c r="AA762" s="6"/>
    </row>
    <row r="763" spans="1:27" ht="14.25">
      <c r="A763" s="6"/>
      <c r="B763" s="6"/>
      <c r="C763" s="6"/>
      <c r="D763" s="6"/>
      <c r="E763" s="6"/>
      <c r="F763" s="6"/>
      <c r="G763" s="6"/>
      <c r="H763" s="6"/>
      <c r="I763" s="6"/>
      <c r="J763" s="6"/>
      <c r="K763" s="6"/>
      <c r="L763" s="6"/>
      <c r="M763" s="6"/>
      <c r="N763" s="6"/>
      <c r="O763" s="6"/>
      <c r="P763" s="6"/>
      <c r="Q763" s="6"/>
      <c r="R763" s="6"/>
      <c r="S763" s="6"/>
      <c r="T763" s="6"/>
      <c r="U763" s="6"/>
      <c r="V763" s="6"/>
      <c r="W763" s="6"/>
      <c r="X763" s="6"/>
      <c r="Y763" s="6"/>
      <c r="Z763" s="6"/>
      <c r="AA763" s="6"/>
    </row>
    <row r="764" spans="1:27" ht="14.25">
      <c r="A764" s="6"/>
      <c r="B764" s="6"/>
      <c r="C764" s="6"/>
      <c r="D764" s="6"/>
      <c r="E764" s="6"/>
      <c r="F764" s="6"/>
      <c r="G764" s="6"/>
      <c r="H764" s="6"/>
      <c r="I764" s="6"/>
      <c r="J764" s="6"/>
      <c r="K764" s="6"/>
      <c r="L764" s="6"/>
      <c r="M764" s="6"/>
      <c r="N764" s="6"/>
      <c r="O764" s="6"/>
      <c r="P764" s="6"/>
      <c r="Q764" s="6"/>
      <c r="R764" s="6"/>
      <c r="S764" s="6"/>
      <c r="T764" s="6"/>
      <c r="U764" s="6"/>
      <c r="V764" s="6"/>
      <c r="W764" s="6"/>
      <c r="X764" s="6"/>
      <c r="Y764" s="6"/>
      <c r="Z764" s="6"/>
      <c r="AA764" s="6"/>
    </row>
    <row r="765" spans="1:27" ht="14.25">
      <c r="A765" s="6"/>
      <c r="B765" s="6"/>
      <c r="C765" s="6"/>
      <c r="D765" s="6"/>
      <c r="E765" s="6"/>
      <c r="F765" s="6"/>
      <c r="G765" s="6"/>
      <c r="H765" s="6"/>
      <c r="I765" s="6"/>
      <c r="J765" s="6"/>
      <c r="K765" s="6"/>
      <c r="L765" s="6"/>
      <c r="M765" s="6"/>
      <c r="N765" s="6"/>
      <c r="O765" s="6"/>
      <c r="P765" s="6"/>
      <c r="Q765" s="6"/>
      <c r="R765" s="6"/>
      <c r="S765" s="6"/>
      <c r="T765" s="6"/>
      <c r="U765" s="6"/>
      <c r="V765" s="6"/>
      <c r="W765" s="6"/>
      <c r="X765" s="6"/>
      <c r="Y765" s="6"/>
      <c r="Z765" s="6"/>
      <c r="AA765" s="6"/>
    </row>
    <row r="766" spans="1:27" ht="14.25">
      <c r="A766" s="6"/>
      <c r="B766" s="6"/>
      <c r="C766" s="6"/>
      <c r="D766" s="6"/>
      <c r="E766" s="6"/>
      <c r="F766" s="6"/>
      <c r="G766" s="6"/>
      <c r="H766" s="6"/>
      <c r="I766" s="6"/>
      <c r="J766" s="6"/>
      <c r="K766" s="6"/>
      <c r="L766" s="6"/>
      <c r="M766" s="6"/>
      <c r="N766" s="6"/>
      <c r="O766" s="6"/>
      <c r="P766" s="6"/>
      <c r="Q766" s="6"/>
      <c r="R766" s="6"/>
      <c r="S766" s="6"/>
      <c r="T766" s="6"/>
      <c r="U766" s="6"/>
      <c r="V766" s="6"/>
      <c r="W766" s="6"/>
      <c r="X766" s="6"/>
      <c r="Y766" s="6"/>
      <c r="Z766" s="6"/>
      <c r="AA766" s="6"/>
    </row>
    <row r="767" spans="1:27" ht="14.25">
      <c r="A767" s="6"/>
      <c r="B767" s="6"/>
      <c r="C767" s="6"/>
      <c r="D767" s="6"/>
      <c r="E767" s="6"/>
      <c r="F767" s="6"/>
      <c r="G767" s="6"/>
      <c r="H767" s="6"/>
      <c r="I767" s="6"/>
      <c r="J767" s="6"/>
      <c r="K767" s="6"/>
      <c r="L767" s="6"/>
      <c r="M767" s="6"/>
      <c r="N767" s="6"/>
      <c r="O767" s="6"/>
      <c r="P767" s="6"/>
      <c r="Q767" s="6"/>
      <c r="R767" s="6"/>
      <c r="S767" s="6"/>
      <c r="T767" s="6"/>
      <c r="U767" s="6"/>
      <c r="V767" s="6"/>
      <c r="W767" s="6"/>
      <c r="X767" s="6"/>
      <c r="Y767" s="6"/>
      <c r="Z767" s="6"/>
      <c r="AA767" s="6"/>
    </row>
    <row r="768" spans="1:27" ht="14.25">
      <c r="A768" s="6"/>
      <c r="B768" s="6"/>
      <c r="C768" s="6"/>
      <c r="D768" s="6"/>
      <c r="E768" s="6"/>
      <c r="F768" s="6"/>
      <c r="G768" s="6"/>
      <c r="H768" s="6"/>
      <c r="I768" s="6"/>
      <c r="J768" s="6"/>
      <c r="K768" s="6"/>
      <c r="L768" s="6"/>
      <c r="M768" s="6"/>
      <c r="N768" s="6"/>
      <c r="O768" s="6"/>
      <c r="P768" s="6"/>
      <c r="Q768" s="6"/>
      <c r="R768" s="6"/>
      <c r="S768" s="6"/>
      <c r="T768" s="6"/>
      <c r="U768" s="6"/>
      <c r="V768" s="6"/>
      <c r="W768" s="6"/>
      <c r="X768" s="6"/>
      <c r="Y768" s="6"/>
      <c r="Z768" s="6"/>
      <c r="AA768" s="6"/>
    </row>
    <row r="769" spans="1:27" ht="14.25">
      <c r="A769" s="6"/>
      <c r="B769" s="6"/>
      <c r="C769" s="6"/>
      <c r="D769" s="6"/>
      <c r="E769" s="6"/>
      <c r="F769" s="6"/>
      <c r="G769" s="6"/>
      <c r="H769" s="6"/>
      <c r="I769" s="6"/>
      <c r="J769" s="6"/>
      <c r="K769" s="6"/>
      <c r="L769" s="6"/>
      <c r="M769" s="6"/>
      <c r="N769" s="6"/>
      <c r="O769" s="6"/>
      <c r="P769" s="6"/>
      <c r="Q769" s="6"/>
      <c r="R769" s="6"/>
      <c r="S769" s="6"/>
      <c r="T769" s="6"/>
      <c r="U769" s="6"/>
      <c r="V769" s="6"/>
      <c r="W769" s="6"/>
      <c r="X769" s="6"/>
      <c r="Y769" s="6"/>
      <c r="Z769" s="6"/>
      <c r="AA769" s="6"/>
    </row>
    <row r="770" spans="1:27" ht="14.25">
      <c r="A770" s="6"/>
      <c r="B770" s="6"/>
      <c r="C770" s="6"/>
      <c r="D770" s="6"/>
      <c r="E770" s="6"/>
      <c r="F770" s="6"/>
      <c r="G770" s="6"/>
      <c r="H770" s="6"/>
      <c r="I770" s="6"/>
      <c r="J770" s="6"/>
      <c r="K770" s="6"/>
      <c r="L770" s="6"/>
      <c r="M770" s="6"/>
      <c r="N770" s="6"/>
      <c r="O770" s="6"/>
      <c r="P770" s="6"/>
      <c r="Q770" s="6"/>
      <c r="R770" s="6"/>
      <c r="S770" s="6"/>
      <c r="T770" s="6"/>
      <c r="U770" s="6"/>
      <c r="V770" s="6"/>
      <c r="W770" s="6"/>
      <c r="X770" s="6"/>
      <c r="Y770" s="6"/>
      <c r="Z770" s="6"/>
      <c r="AA770" s="6"/>
    </row>
    <row r="771" spans="1:27" ht="14.25">
      <c r="A771" s="6"/>
      <c r="B771" s="6"/>
      <c r="C771" s="6"/>
      <c r="D771" s="6"/>
      <c r="E771" s="6"/>
      <c r="F771" s="6"/>
      <c r="G771" s="6"/>
      <c r="H771" s="6"/>
      <c r="I771" s="6"/>
      <c r="J771" s="6"/>
      <c r="K771" s="6"/>
      <c r="L771" s="6"/>
      <c r="M771" s="6"/>
      <c r="N771" s="6"/>
      <c r="O771" s="6"/>
      <c r="P771" s="6"/>
      <c r="Q771" s="6"/>
      <c r="R771" s="6"/>
      <c r="S771" s="6"/>
      <c r="T771" s="6"/>
      <c r="U771" s="6"/>
      <c r="V771" s="6"/>
      <c r="W771" s="6"/>
      <c r="X771" s="6"/>
      <c r="Y771" s="6"/>
      <c r="Z771" s="6"/>
      <c r="AA771" s="6"/>
    </row>
    <row r="772" spans="1:27" ht="14.25">
      <c r="A772" s="6"/>
      <c r="B772" s="6"/>
      <c r="C772" s="6"/>
      <c r="D772" s="6"/>
      <c r="E772" s="6"/>
      <c r="F772" s="6"/>
      <c r="G772" s="6"/>
      <c r="H772" s="6"/>
      <c r="I772" s="6"/>
      <c r="J772" s="6"/>
      <c r="K772" s="6"/>
      <c r="L772" s="6"/>
      <c r="M772" s="6"/>
      <c r="N772" s="6"/>
      <c r="O772" s="6"/>
      <c r="P772" s="6"/>
      <c r="Q772" s="6"/>
      <c r="R772" s="6"/>
      <c r="S772" s="6"/>
      <c r="T772" s="6"/>
      <c r="U772" s="6"/>
      <c r="V772" s="6"/>
      <c r="W772" s="6"/>
      <c r="X772" s="6"/>
      <c r="Y772" s="6"/>
      <c r="Z772" s="6"/>
      <c r="AA772" s="6"/>
    </row>
    <row r="773" spans="1:27" ht="14.25">
      <c r="A773" s="6"/>
      <c r="B773" s="6"/>
      <c r="C773" s="6"/>
      <c r="D773" s="6"/>
      <c r="E773" s="6"/>
      <c r="F773" s="6"/>
      <c r="G773" s="6"/>
      <c r="H773" s="6"/>
      <c r="I773" s="6"/>
      <c r="J773" s="6"/>
      <c r="K773" s="6"/>
      <c r="L773" s="6"/>
      <c r="M773" s="6"/>
      <c r="N773" s="6"/>
      <c r="O773" s="6"/>
      <c r="P773" s="6"/>
      <c r="Q773" s="6"/>
      <c r="R773" s="6"/>
      <c r="S773" s="6"/>
      <c r="T773" s="6"/>
      <c r="U773" s="6"/>
      <c r="V773" s="6"/>
      <c r="W773" s="6"/>
      <c r="X773" s="6"/>
      <c r="Y773" s="6"/>
      <c r="Z773" s="6"/>
      <c r="AA773" s="6"/>
    </row>
    <row r="774" spans="1:27" ht="14.25">
      <c r="A774" s="6"/>
      <c r="B774" s="6"/>
      <c r="C774" s="6"/>
      <c r="D774" s="6"/>
      <c r="E774" s="6"/>
      <c r="F774" s="6"/>
      <c r="G774" s="6"/>
      <c r="H774" s="6"/>
      <c r="I774" s="6"/>
      <c r="J774" s="6"/>
      <c r="K774" s="6"/>
      <c r="L774" s="6"/>
      <c r="M774" s="6"/>
      <c r="N774" s="6"/>
      <c r="O774" s="6"/>
      <c r="P774" s="6"/>
      <c r="Q774" s="6"/>
      <c r="R774" s="6"/>
      <c r="S774" s="6"/>
      <c r="T774" s="6"/>
      <c r="U774" s="6"/>
      <c r="V774" s="6"/>
      <c r="W774" s="6"/>
      <c r="X774" s="6"/>
      <c r="Y774" s="6"/>
      <c r="Z774" s="6"/>
      <c r="AA774" s="6"/>
    </row>
    <row r="775" spans="1:27" ht="14.25">
      <c r="A775" s="6"/>
      <c r="B775" s="6"/>
      <c r="C775" s="6"/>
      <c r="D775" s="6"/>
      <c r="E775" s="6"/>
      <c r="F775" s="6"/>
      <c r="G775" s="6"/>
      <c r="H775" s="6"/>
      <c r="I775" s="6"/>
      <c r="J775" s="6"/>
      <c r="K775" s="6"/>
      <c r="L775" s="6"/>
      <c r="M775" s="6"/>
      <c r="N775" s="6"/>
      <c r="O775" s="6"/>
      <c r="P775" s="6"/>
      <c r="Q775" s="6"/>
      <c r="R775" s="6"/>
      <c r="S775" s="6"/>
      <c r="T775" s="6"/>
      <c r="U775" s="6"/>
      <c r="V775" s="6"/>
      <c r="W775" s="6"/>
      <c r="X775" s="6"/>
      <c r="Y775" s="6"/>
      <c r="Z775" s="6"/>
      <c r="AA775" s="6"/>
    </row>
    <row r="776" spans="1:27" ht="14.25">
      <c r="A776" s="6"/>
      <c r="B776" s="6"/>
      <c r="C776" s="6"/>
      <c r="D776" s="6"/>
      <c r="E776" s="6"/>
      <c r="F776" s="6"/>
      <c r="G776" s="6"/>
      <c r="H776" s="6"/>
      <c r="I776" s="6"/>
      <c r="J776" s="6"/>
      <c r="K776" s="6"/>
      <c r="L776" s="6"/>
      <c r="M776" s="6"/>
      <c r="N776" s="6"/>
      <c r="O776" s="6"/>
      <c r="P776" s="6"/>
      <c r="Q776" s="6"/>
      <c r="R776" s="6"/>
      <c r="S776" s="6"/>
      <c r="T776" s="6"/>
      <c r="U776" s="6"/>
      <c r="V776" s="6"/>
      <c r="W776" s="6"/>
      <c r="X776" s="6"/>
      <c r="Y776" s="6"/>
      <c r="Z776" s="6"/>
      <c r="AA776" s="6"/>
    </row>
    <row r="777" spans="1:27" ht="14.25">
      <c r="A777" s="6"/>
      <c r="B777" s="6"/>
      <c r="C777" s="6"/>
      <c r="D777" s="6"/>
      <c r="E777" s="6"/>
      <c r="F777" s="6"/>
      <c r="G777" s="6"/>
      <c r="H777" s="6"/>
      <c r="I777" s="6"/>
      <c r="J777" s="6"/>
      <c r="K777" s="6"/>
      <c r="L777" s="6"/>
      <c r="M777" s="6"/>
      <c r="N777" s="6"/>
      <c r="O777" s="6"/>
      <c r="P777" s="6"/>
      <c r="Q777" s="6"/>
      <c r="R777" s="6"/>
      <c r="S777" s="6"/>
      <c r="T777" s="6"/>
      <c r="U777" s="6"/>
      <c r="V777" s="6"/>
      <c r="W777" s="6"/>
      <c r="X777" s="6"/>
      <c r="Y777" s="6"/>
      <c r="Z777" s="6"/>
      <c r="AA777" s="6"/>
    </row>
    <row r="778" spans="1:27" ht="14.25">
      <c r="A778" s="6"/>
      <c r="B778" s="6"/>
      <c r="C778" s="6"/>
      <c r="D778" s="6"/>
      <c r="E778" s="6"/>
      <c r="F778" s="6"/>
      <c r="G778" s="6"/>
      <c r="H778" s="6"/>
      <c r="I778" s="6"/>
      <c r="J778" s="6"/>
      <c r="K778" s="6"/>
      <c r="L778" s="6"/>
      <c r="M778" s="6"/>
      <c r="N778" s="6"/>
      <c r="O778" s="6"/>
      <c r="P778" s="6"/>
      <c r="Q778" s="6"/>
      <c r="R778" s="6"/>
      <c r="S778" s="6"/>
      <c r="T778" s="6"/>
      <c r="U778" s="6"/>
      <c r="V778" s="6"/>
      <c r="W778" s="6"/>
      <c r="X778" s="6"/>
      <c r="Y778" s="6"/>
      <c r="Z778" s="6"/>
      <c r="AA778" s="6"/>
    </row>
    <row r="779" spans="1:27" ht="14.25">
      <c r="A779" s="6"/>
      <c r="B779" s="6"/>
      <c r="C779" s="6"/>
      <c r="D779" s="6"/>
      <c r="E779" s="6"/>
      <c r="F779" s="6"/>
      <c r="G779" s="6"/>
      <c r="H779" s="6"/>
      <c r="I779" s="6"/>
      <c r="J779" s="6"/>
      <c r="K779" s="6"/>
      <c r="L779" s="6"/>
      <c r="M779" s="6"/>
      <c r="N779" s="6"/>
      <c r="O779" s="6"/>
      <c r="P779" s="6"/>
      <c r="Q779" s="6"/>
      <c r="R779" s="6"/>
      <c r="S779" s="6"/>
      <c r="T779" s="6"/>
      <c r="U779" s="6"/>
      <c r="V779" s="6"/>
      <c r="W779" s="6"/>
      <c r="X779" s="6"/>
      <c r="Y779" s="6"/>
      <c r="Z779" s="6"/>
      <c r="AA779" s="6"/>
    </row>
    <row r="780" spans="1:27" ht="14.25">
      <c r="A780" s="6"/>
      <c r="B780" s="6"/>
      <c r="C780" s="6"/>
      <c r="D780" s="6"/>
      <c r="E780" s="6"/>
      <c r="F780" s="6"/>
      <c r="G780" s="6"/>
      <c r="H780" s="6"/>
      <c r="I780" s="6"/>
      <c r="J780" s="6"/>
      <c r="K780" s="6"/>
      <c r="L780" s="6"/>
      <c r="M780" s="6"/>
      <c r="N780" s="6"/>
      <c r="O780" s="6"/>
      <c r="P780" s="6"/>
      <c r="Q780" s="6"/>
      <c r="R780" s="6"/>
      <c r="S780" s="6"/>
      <c r="T780" s="6"/>
      <c r="U780" s="6"/>
      <c r="V780" s="6"/>
      <c r="W780" s="6"/>
      <c r="X780" s="6"/>
      <c r="Y780" s="6"/>
      <c r="Z780" s="6"/>
      <c r="AA780" s="6"/>
    </row>
    <row r="781" spans="1:27" ht="14.25">
      <c r="A781" s="6"/>
      <c r="B781" s="6"/>
      <c r="C781" s="6"/>
      <c r="D781" s="6"/>
      <c r="E781" s="6"/>
      <c r="F781" s="6"/>
      <c r="G781" s="6"/>
      <c r="H781" s="6"/>
      <c r="I781" s="6"/>
      <c r="J781" s="6"/>
      <c r="K781" s="6"/>
      <c r="L781" s="6"/>
      <c r="M781" s="6"/>
      <c r="N781" s="6"/>
      <c r="O781" s="6"/>
      <c r="P781" s="6"/>
      <c r="Q781" s="6"/>
      <c r="R781" s="6"/>
      <c r="S781" s="6"/>
      <c r="T781" s="6"/>
      <c r="U781" s="6"/>
      <c r="V781" s="6"/>
      <c r="W781" s="6"/>
      <c r="X781" s="6"/>
      <c r="Y781" s="6"/>
      <c r="Z781" s="6"/>
      <c r="AA781" s="6"/>
    </row>
    <row r="782" spans="1:27" ht="14.25">
      <c r="A782" s="6"/>
      <c r="B782" s="6"/>
      <c r="C782" s="6"/>
      <c r="D782" s="6"/>
      <c r="E782" s="6"/>
      <c r="F782" s="6"/>
      <c r="G782" s="6"/>
      <c r="H782" s="6"/>
      <c r="I782" s="6"/>
      <c r="J782" s="6"/>
      <c r="K782" s="6"/>
      <c r="L782" s="6"/>
      <c r="M782" s="6"/>
      <c r="N782" s="6"/>
      <c r="O782" s="6"/>
      <c r="P782" s="6"/>
      <c r="Q782" s="6"/>
      <c r="R782" s="6"/>
      <c r="S782" s="6"/>
      <c r="T782" s="6"/>
      <c r="U782" s="6"/>
      <c r="V782" s="6"/>
      <c r="W782" s="6"/>
      <c r="X782" s="6"/>
      <c r="Y782" s="6"/>
      <c r="Z782" s="6"/>
      <c r="AA782" s="6"/>
    </row>
    <row r="783" spans="1:27" ht="14.25">
      <c r="A783" s="6"/>
      <c r="B783" s="6"/>
      <c r="C783" s="6"/>
      <c r="D783" s="6"/>
      <c r="E783" s="6"/>
      <c r="F783" s="6"/>
      <c r="G783" s="6"/>
      <c r="H783" s="6"/>
      <c r="I783" s="6"/>
      <c r="J783" s="6"/>
      <c r="K783" s="6"/>
      <c r="L783" s="6"/>
      <c r="M783" s="6"/>
      <c r="N783" s="6"/>
      <c r="O783" s="6"/>
      <c r="P783" s="6"/>
      <c r="Q783" s="6"/>
      <c r="R783" s="6"/>
      <c r="S783" s="6"/>
      <c r="T783" s="6"/>
      <c r="U783" s="6"/>
      <c r="V783" s="6"/>
      <c r="W783" s="6"/>
      <c r="X783" s="6"/>
      <c r="Y783" s="6"/>
      <c r="Z783" s="6"/>
      <c r="AA783" s="6"/>
    </row>
    <row r="784" spans="1:27" ht="14.25">
      <c r="A784" s="6"/>
      <c r="B784" s="6"/>
      <c r="C784" s="6"/>
      <c r="D784" s="6"/>
      <c r="E784" s="6"/>
      <c r="F784" s="6"/>
      <c r="G784" s="6"/>
      <c r="H784" s="6"/>
      <c r="I784" s="6"/>
      <c r="J784" s="6"/>
      <c r="K784" s="6"/>
      <c r="L784" s="6"/>
      <c r="M784" s="6"/>
      <c r="N784" s="6"/>
      <c r="O784" s="6"/>
      <c r="P784" s="6"/>
      <c r="Q784" s="6"/>
      <c r="R784" s="6"/>
      <c r="S784" s="6"/>
      <c r="T784" s="6"/>
      <c r="U784" s="6"/>
      <c r="V784" s="6"/>
      <c r="W784" s="6"/>
      <c r="X784" s="6"/>
      <c r="Y784" s="6"/>
      <c r="Z784" s="6"/>
      <c r="AA784" s="6"/>
    </row>
    <row r="785" spans="1:27" ht="14.25">
      <c r="A785" s="6"/>
      <c r="B785" s="6"/>
      <c r="C785" s="6"/>
      <c r="D785" s="6"/>
      <c r="E785" s="6"/>
      <c r="F785" s="6"/>
      <c r="G785" s="6"/>
      <c r="H785" s="6"/>
      <c r="I785" s="6"/>
      <c r="J785" s="6"/>
      <c r="K785" s="6"/>
      <c r="L785" s="6"/>
      <c r="M785" s="6"/>
      <c r="N785" s="6"/>
      <c r="O785" s="6"/>
      <c r="P785" s="6"/>
      <c r="Q785" s="6"/>
      <c r="R785" s="6"/>
      <c r="S785" s="6"/>
      <c r="T785" s="6"/>
      <c r="U785" s="6"/>
      <c r="V785" s="6"/>
      <c r="W785" s="6"/>
      <c r="X785" s="6"/>
      <c r="Y785" s="6"/>
      <c r="Z785" s="6"/>
      <c r="AA785" s="6"/>
    </row>
    <row r="786" spans="1:27" ht="14.25">
      <c r="A786" s="6"/>
      <c r="B786" s="6"/>
      <c r="C786" s="6"/>
      <c r="D786" s="6"/>
      <c r="E786" s="6"/>
      <c r="F786" s="6"/>
      <c r="G786" s="6"/>
      <c r="H786" s="6"/>
      <c r="I786" s="6"/>
      <c r="J786" s="6"/>
      <c r="K786" s="6"/>
      <c r="L786" s="6"/>
      <c r="M786" s="6"/>
      <c r="N786" s="6"/>
      <c r="O786" s="6"/>
      <c r="P786" s="6"/>
      <c r="Q786" s="6"/>
      <c r="R786" s="6"/>
      <c r="S786" s="6"/>
      <c r="T786" s="6"/>
      <c r="U786" s="6"/>
      <c r="V786" s="6"/>
      <c r="W786" s="6"/>
      <c r="X786" s="6"/>
      <c r="Y786" s="6"/>
      <c r="Z786" s="6"/>
      <c r="AA786" s="6"/>
    </row>
    <row r="787" spans="1:27" ht="14.25">
      <c r="A787" s="6"/>
      <c r="B787" s="6"/>
      <c r="C787" s="6"/>
      <c r="D787" s="6"/>
      <c r="E787" s="6"/>
      <c r="F787" s="6"/>
      <c r="G787" s="6"/>
      <c r="H787" s="6"/>
      <c r="I787" s="6"/>
      <c r="J787" s="6"/>
      <c r="K787" s="6"/>
      <c r="L787" s="6"/>
      <c r="M787" s="6"/>
      <c r="N787" s="6"/>
      <c r="O787" s="6"/>
      <c r="P787" s="6"/>
      <c r="Q787" s="6"/>
      <c r="R787" s="6"/>
      <c r="S787" s="6"/>
      <c r="T787" s="6"/>
      <c r="U787" s="6"/>
      <c r="V787" s="6"/>
      <c r="W787" s="6"/>
      <c r="X787" s="6"/>
      <c r="Y787" s="6"/>
      <c r="Z787" s="6"/>
      <c r="AA787" s="6"/>
    </row>
    <row r="788" spans="1:27" ht="14.25">
      <c r="A788" s="6"/>
      <c r="B788" s="6"/>
      <c r="C788" s="6"/>
      <c r="D788" s="6"/>
      <c r="E788" s="6"/>
      <c r="F788" s="6"/>
      <c r="G788" s="6"/>
      <c r="H788" s="6"/>
      <c r="I788" s="6"/>
      <c r="J788" s="6"/>
      <c r="K788" s="6"/>
      <c r="L788" s="6"/>
      <c r="M788" s="6"/>
      <c r="N788" s="6"/>
      <c r="O788" s="6"/>
      <c r="P788" s="6"/>
      <c r="Q788" s="6"/>
      <c r="R788" s="6"/>
      <c r="S788" s="6"/>
      <c r="T788" s="6"/>
      <c r="U788" s="6"/>
      <c r="V788" s="6"/>
      <c r="W788" s="6"/>
      <c r="X788" s="6"/>
      <c r="Y788" s="6"/>
      <c r="Z788" s="6"/>
      <c r="AA788" s="6"/>
    </row>
    <row r="789" spans="1:27" ht="14.25">
      <c r="A789" s="6"/>
      <c r="B789" s="6"/>
      <c r="C789" s="6"/>
      <c r="D789" s="6"/>
      <c r="E789" s="6"/>
      <c r="F789" s="6"/>
      <c r="G789" s="6"/>
      <c r="H789" s="6"/>
      <c r="I789" s="6"/>
      <c r="J789" s="6"/>
      <c r="K789" s="6"/>
      <c r="L789" s="6"/>
      <c r="M789" s="6"/>
      <c r="N789" s="6"/>
      <c r="O789" s="6"/>
      <c r="P789" s="6"/>
      <c r="Q789" s="6"/>
      <c r="R789" s="6"/>
      <c r="S789" s="6"/>
      <c r="T789" s="6"/>
      <c r="U789" s="6"/>
      <c r="V789" s="6"/>
      <c r="W789" s="6"/>
      <c r="X789" s="6"/>
      <c r="Y789" s="6"/>
      <c r="Z789" s="6"/>
      <c r="AA789" s="6"/>
    </row>
    <row r="790" spans="1:27" ht="14.25">
      <c r="A790" s="6"/>
      <c r="B790" s="6"/>
      <c r="C790" s="6"/>
      <c r="D790" s="6"/>
      <c r="E790" s="6"/>
      <c r="F790" s="6"/>
      <c r="G790" s="6"/>
      <c r="H790" s="6"/>
      <c r="I790" s="6"/>
      <c r="J790" s="6"/>
      <c r="K790" s="6"/>
      <c r="L790" s="6"/>
      <c r="M790" s="6"/>
      <c r="N790" s="6"/>
      <c r="O790" s="6"/>
      <c r="P790" s="6"/>
      <c r="Q790" s="6"/>
      <c r="R790" s="6"/>
      <c r="S790" s="6"/>
      <c r="T790" s="6"/>
      <c r="U790" s="6"/>
      <c r="V790" s="6"/>
      <c r="W790" s="6"/>
      <c r="X790" s="6"/>
      <c r="Y790" s="6"/>
      <c r="Z790" s="6"/>
      <c r="AA790" s="6"/>
    </row>
    <row r="791" spans="1:27" ht="14.25">
      <c r="A791" s="6"/>
      <c r="B791" s="6"/>
      <c r="C791" s="6"/>
      <c r="D791" s="6"/>
      <c r="E791" s="6"/>
      <c r="F791" s="6"/>
      <c r="G791" s="6"/>
      <c r="H791" s="6"/>
      <c r="I791" s="6"/>
      <c r="J791" s="6"/>
      <c r="K791" s="6"/>
      <c r="L791" s="6"/>
      <c r="M791" s="6"/>
      <c r="N791" s="6"/>
      <c r="O791" s="6"/>
      <c r="P791" s="6"/>
      <c r="Q791" s="6"/>
      <c r="R791" s="6"/>
      <c r="S791" s="6"/>
      <c r="T791" s="6"/>
      <c r="U791" s="6"/>
      <c r="V791" s="6"/>
      <c r="W791" s="6"/>
      <c r="X791" s="6"/>
      <c r="Y791" s="6"/>
      <c r="Z791" s="6"/>
      <c r="AA791" s="6"/>
    </row>
    <row r="792" spans="1:27" ht="14.25">
      <c r="A792" s="6"/>
      <c r="B792" s="6"/>
      <c r="C792" s="6"/>
      <c r="D792" s="6"/>
      <c r="E792" s="6"/>
      <c r="F792" s="6"/>
      <c r="G792" s="6"/>
      <c r="H792" s="6"/>
      <c r="I792" s="6"/>
      <c r="J792" s="6"/>
      <c r="K792" s="6"/>
      <c r="L792" s="6"/>
      <c r="M792" s="6"/>
      <c r="N792" s="6"/>
      <c r="O792" s="6"/>
      <c r="P792" s="6"/>
      <c r="Q792" s="6"/>
      <c r="R792" s="6"/>
      <c r="S792" s="6"/>
      <c r="T792" s="6"/>
      <c r="U792" s="6"/>
      <c r="V792" s="6"/>
      <c r="W792" s="6"/>
      <c r="X792" s="6"/>
      <c r="Y792" s="6"/>
      <c r="Z792" s="6"/>
      <c r="AA792" s="6"/>
    </row>
    <row r="793" spans="1:27" ht="14.25">
      <c r="A793" s="6"/>
      <c r="B793" s="6"/>
      <c r="C793" s="6"/>
      <c r="D793" s="6"/>
      <c r="E793" s="6"/>
      <c r="F793" s="6"/>
      <c r="G793" s="6"/>
      <c r="H793" s="6"/>
      <c r="I793" s="6"/>
      <c r="J793" s="6"/>
      <c r="K793" s="6"/>
      <c r="L793" s="6"/>
      <c r="M793" s="6"/>
      <c r="N793" s="6"/>
      <c r="O793" s="6"/>
      <c r="P793" s="6"/>
      <c r="Q793" s="6"/>
      <c r="R793" s="6"/>
      <c r="S793" s="6"/>
      <c r="T793" s="6"/>
      <c r="U793" s="6"/>
      <c r="V793" s="6"/>
      <c r="W793" s="6"/>
      <c r="X793" s="6"/>
      <c r="Y793" s="6"/>
      <c r="Z793" s="6"/>
      <c r="AA793" s="6"/>
    </row>
    <row r="794" spans="1:27" ht="14.25">
      <c r="A794" s="6"/>
      <c r="B794" s="6"/>
      <c r="C794" s="6"/>
      <c r="D794" s="6"/>
      <c r="E794" s="6"/>
      <c r="F794" s="6"/>
      <c r="G794" s="6"/>
      <c r="H794" s="6"/>
      <c r="I794" s="6"/>
      <c r="J794" s="6"/>
      <c r="K794" s="6"/>
      <c r="L794" s="6"/>
      <c r="M794" s="6"/>
      <c r="N794" s="6"/>
      <c r="O794" s="6"/>
      <c r="P794" s="6"/>
      <c r="Q794" s="6"/>
      <c r="R794" s="6"/>
      <c r="S794" s="6"/>
      <c r="T794" s="6"/>
      <c r="U794" s="6"/>
      <c r="V794" s="6"/>
      <c r="W794" s="6"/>
      <c r="X794" s="6"/>
      <c r="Y794" s="6"/>
      <c r="Z794" s="6"/>
      <c r="AA794" s="6"/>
    </row>
    <row r="795" spans="1:27" ht="14.25">
      <c r="A795" s="6"/>
      <c r="B795" s="6"/>
      <c r="C795" s="6"/>
      <c r="D795" s="6"/>
      <c r="E795" s="6"/>
      <c r="F795" s="6"/>
      <c r="G795" s="6"/>
      <c r="H795" s="6"/>
      <c r="I795" s="6"/>
      <c r="J795" s="6"/>
      <c r="K795" s="6"/>
      <c r="L795" s="6"/>
      <c r="M795" s="6"/>
      <c r="N795" s="6"/>
      <c r="O795" s="6"/>
      <c r="P795" s="6"/>
      <c r="Q795" s="6"/>
      <c r="R795" s="6"/>
      <c r="S795" s="6"/>
      <c r="T795" s="6"/>
      <c r="U795" s="6"/>
      <c r="V795" s="6"/>
      <c r="W795" s="6"/>
      <c r="X795" s="6"/>
      <c r="Y795" s="6"/>
      <c r="Z795" s="6"/>
      <c r="AA795" s="6"/>
    </row>
    <row r="796" spans="1:27" ht="14.25">
      <c r="A796" s="6"/>
      <c r="B796" s="6"/>
      <c r="C796" s="6"/>
      <c r="D796" s="6"/>
      <c r="E796" s="6"/>
      <c r="F796" s="6"/>
      <c r="G796" s="6"/>
      <c r="H796" s="6"/>
      <c r="I796" s="6"/>
      <c r="J796" s="6"/>
      <c r="K796" s="6"/>
      <c r="L796" s="6"/>
      <c r="M796" s="6"/>
      <c r="N796" s="6"/>
      <c r="O796" s="6"/>
      <c r="P796" s="6"/>
      <c r="Q796" s="6"/>
      <c r="R796" s="6"/>
      <c r="S796" s="6"/>
      <c r="T796" s="6"/>
      <c r="U796" s="6"/>
      <c r="V796" s="6"/>
      <c r="W796" s="6"/>
      <c r="X796" s="6"/>
      <c r="Y796" s="6"/>
      <c r="Z796" s="6"/>
      <c r="AA796" s="6"/>
    </row>
    <row r="797" spans="1:27" ht="14.25">
      <c r="A797" s="6"/>
      <c r="B797" s="6"/>
      <c r="C797" s="6"/>
      <c r="D797" s="6"/>
      <c r="E797" s="6"/>
      <c r="F797" s="6"/>
      <c r="G797" s="6"/>
      <c r="H797" s="6"/>
      <c r="I797" s="6"/>
      <c r="J797" s="6"/>
      <c r="K797" s="6"/>
      <c r="L797" s="6"/>
      <c r="M797" s="6"/>
      <c r="N797" s="6"/>
      <c r="O797" s="6"/>
      <c r="P797" s="6"/>
      <c r="Q797" s="6"/>
      <c r="R797" s="6"/>
      <c r="S797" s="6"/>
      <c r="T797" s="6"/>
      <c r="U797" s="6"/>
      <c r="V797" s="6"/>
      <c r="W797" s="6"/>
      <c r="X797" s="6"/>
      <c r="Y797" s="6"/>
      <c r="Z797" s="6"/>
      <c r="AA797" s="6"/>
    </row>
    <row r="798" spans="1:27" ht="14.25">
      <c r="A798" s="6"/>
      <c r="B798" s="6"/>
      <c r="C798" s="6"/>
      <c r="D798" s="6"/>
      <c r="E798" s="6"/>
      <c r="F798" s="6"/>
      <c r="G798" s="6"/>
      <c r="H798" s="6"/>
      <c r="I798" s="6"/>
      <c r="J798" s="6"/>
      <c r="K798" s="6"/>
      <c r="L798" s="6"/>
      <c r="M798" s="6"/>
      <c r="N798" s="6"/>
      <c r="O798" s="6"/>
      <c r="P798" s="6"/>
      <c r="Q798" s="6"/>
      <c r="R798" s="6"/>
      <c r="S798" s="6"/>
      <c r="T798" s="6"/>
      <c r="U798" s="6"/>
      <c r="V798" s="6"/>
      <c r="W798" s="6"/>
      <c r="X798" s="6"/>
      <c r="Y798" s="6"/>
      <c r="Z798" s="6"/>
      <c r="AA798" s="6"/>
    </row>
    <row r="799" spans="1:27" ht="14.25">
      <c r="A799" s="6"/>
      <c r="B799" s="6"/>
      <c r="C799" s="6"/>
      <c r="D799" s="6"/>
      <c r="E799" s="6"/>
      <c r="F799" s="6"/>
      <c r="G799" s="6"/>
      <c r="H799" s="6"/>
      <c r="I799" s="6"/>
      <c r="J799" s="6"/>
      <c r="K799" s="6"/>
      <c r="L799" s="6"/>
      <c r="M799" s="6"/>
      <c r="N799" s="6"/>
      <c r="O799" s="6"/>
      <c r="P799" s="6"/>
      <c r="Q799" s="6"/>
      <c r="R799" s="6"/>
      <c r="S799" s="6"/>
      <c r="T799" s="6"/>
      <c r="U799" s="6"/>
      <c r="V799" s="6"/>
      <c r="W799" s="6"/>
      <c r="X799" s="6"/>
      <c r="Y799" s="6"/>
      <c r="Z799" s="6"/>
      <c r="AA799" s="6"/>
    </row>
    <row r="800" spans="1:27" ht="14.25">
      <c r="A800" s="6"/>
      <c r="B800" s="6"/>
      <c r="C800" s="6"/>
      <c r="D800" s="6"/>
      <c r="E800" s="6"/>
      <c r="F800" s="6"/>
      <c r="G800" s="6"/>
      <c r="H800" s="6"/>
      <c r="I800" s="6"/>
      <c r="J800" s="6"/>
      <c r="K800" s="6"/>
      <c r="L800" s="6"/>
      <c r="M800" s="6"/>
      <c r="N800" s="6"/>
      <c r="O800" s="6"/>
      <c r="P800" s="6"/>
      <c r="Q800" s="6"/>
      <c r="R800" s="6"/>
      <c r="S800" s="6"/>
      <c r="T800" s="6"/>
      <c r="U800" s="6"/>
      <c r="V800" s="6"/>
      <c r="W800" s="6"/>
      <c r="X800" s="6"/>
      <c r="Y800" s="6"/>
      <c r="Z800" s="6"/>
      <c r="AA800" s="6"/>
    </row>
    <row r="801" spans="1:27" ht="14.25">
      <c r="A801" s="6"/>
      <c r="B801" s="6"/>
      <c r="C801" s="6"/>
      <c r="D801" s="6"/>
      <c r="E801" s="6"/>
      <c r="F801" s="6"/>
      <c r="G801" s="6"/>
      <c r="H801" s="6"/>
      <c r="I801" s="6"/>
      <c r="J801" s="6"/>
      <c r="K801" s="6"/>
      <c r="L801" s="6"/>
      <c r="M801" s="6"/>
      <c r="N801" s="6"/>
      <c r="O801" s="6"/>
      <c r="P801" s="6"/>
      <c r="Q801" s="6"/>
      <c r="R801" s="6"/>
      <c r="S801" s="6"/>
      <c r="T801" s="6"/>
      <c r="U801" s="6"/>
      <c r="V801" s="6"/>
      <c r="W801" s="6"/>
      <c r="X801" s="6"/>
      <c r="Y801" s="6"/>
      <c r="Z801" s="6"/>
      <c r="AA801" s="6"/>
    </row>
    <row r="802" spans="1:27" ht="14.25">
      <c r="A802" s="6"/>
      <c r="B802" s="6"/>
      <c r="C802" s="6"/>
      <c r="D802" s="6"/>
      <c r="E802" s="6"/>
      <c r="F802" s="6"/>
      <c r="G802" s="6"/>
      <c r="H802" s="6"/>
      <c r="I802" s="6"/>
      <c r="J802" s="6"/>
      <c r="K802" s="6"/>
      <c r="L802" s="6"/>
      <c r="M802" s="6"/>
      <c r="N802" s="6"/>
      <c r="O802" s="6"/>
      <c r="P802" s="6"/>
      <c r="Q802" s="6"/>
      <c r="R802" s="6"/>
      <c r="S802" s="6"/>
      <c r="T802" s="6"/>
      <c r="U802" s="6"/>
      <c r="V802" s="6"/>
      <c r="W802" s="6"/>
      <c r="X802" s="6"/>
      <c r="Y802" s="6"/>
      <c r="Z802" s="6"/>
      <c r="AA802" s="6"/>
    </row>
    <row r="803" spans="1:27" ht="14.25">
      <c r="A803" s="6"/>
      <c r="B803" s="6"/>
      <c r="C803" s="6"/>
      <c r="D803" s="6"/>
      <c r="E803" s="6"/>
      <c r="F803" s="6"/>
      <c r="G803" s="6"/>
      <c r="H803" s="6"/>
      <c r="I803" s="6"/>
      <c r="J803" s="6"/>
      <c r="K803" s="6"/>
      <c r="L803" s="6"/>
      <c r="M803" s="6"/>
      <c r="N803" s="6"/>
      <c r="O803" s="6"/>
      <c r="P803" s="6"/>
      <c r="Q803" s="6"/>
      <c r="R803" s="6"/>
      <c r="S803" s="6"/>
      <c r="T803" s="6"/>
      <c r="U803" s="6"/>
      <c r="V803" s="6"/>
      <c r="W803" s="6"/>
      <c r="X803" s="6"/>
      <c r="Y803" s="6"/>
      <c r="Z803" s="6"/>
      <c r="AA803" s="6"/>
    </row>
    <row r="804" spans="1:27" ht="14.25">
      <c r="A804" s="6"/>
      <c r="B804" s="6"/>
      <c r="C804" s="6"/>
      <c r="D804" s="6"/>
      <c r="E804" s="6"/>
      <c r="F804" s="6"/>
      <c r="G804" s="6"/>
      <c r="H804" s="6"/>
      <c r="I804" s="6"/>
      <c r="J804" s="6"/>
      <c r="K804" s="6"/>
      <c r="L804" s="6"/>
      <c r="M804" s="6"/>
      <c r="N804" s="6"/>
      <c r="O804" s="6"/>
      <c r="P804" s="6"/>
      <c r="Q804" s="6"/>
      <c r="R804" s="6"/>
      <c r="S804" s="6"/>
      <c r="T804" s="6"/>
      <c r="U804" s="6"/>
      <c r="V804" s="6"/>
      <c r="W804" s="6"/>
      <c r="X804" s="6"/>
      <c r="Y804" s="6"/>
      <c r="Z804" s="6"/>
      <c r="AA804" s="6"/>
    </row>
    <row r="805" spans="1:27" ht="14.25">
      <c r="A805" s="6"/>
      <c r="B805" s="6"/>
      <c r="C805" s="6"/>
      <c r="D805" s="6"/>
      <c r="E805" s="6"/>
      <c r="F805" s="6"/>
      <c r="G805" s="6"/>
      <c r="H805" s="6"/>
      <c r="I805" s="6"/>
      <c r="J805" s="6"/>
      <c r="K805" s="6"/>
      <c r="L805" s="6"/>
      <c r="M805" s="6"/>
      <c r="N805" s="6"/>
      <c r="O805" s="6"/>
      <c r="P805" s="6"/>
      <c r="Q805" s="6"/>
      <c r="R805" s="6"/>
      <c r="S805" s="6"/>
      <c r="T805" s="6"/>
      <c r="U805" s="6"/>
      <c r="V805" s="6"/>
      <c r="W805" s="6"/>
      <c r="X805" s="6"/>
      <c r="Y805" s="6"/>
      <c r="Z805" s="6"/>
      <c r="AA805" s="6"/>
    </row>
    <row r="806" spans="1:27" ht="14.25">
      <c r="A806" s="6"/>
      <c r="B806" s="6"/>
      <c r="C806" s="6"/>
      <c r="D806" s="6"/>
      <c r="E806" s="6"/>
      <c r="F806" s="6"/>
      <c r="G806" s="6"/>
      <c r="H806" s="6"/>
      <c r="I806" s="6"/>
      <c r="J806" s="6"/>
      <c r="K806" s="6"/>
      <c r="L806" s="6"/>
      <c r="M806" s="6"/>
      <c r="N806" s="6"/>
      <c r="O806" s="6"/>
      <c r="P806" s="6"/>
      <c r="Q806" s="6"/>
      <c r="R806" s="6"/>
      <c r="S806" s="6"/>
      <c r="T806" s="6"/>
      <c r="U806" s="6"/>
      <c r="V806" s="6"/>
      <c r="W806" s="6"/>
      <c r="X806" s="6"/>
      <c r="Y806" s="6"/>
      <c r="Z806" s="6"/>
      <c r="AA806" s="6"/>
    </row>
    <row r="807" spans="1:27" ht="14.25">
      <c r="A807" s="6"/>
      <c r="B807" s="6"/>
      <c r="C807" s="6"/>
      <c r="D807" s="6"/>
      <c r="E807" s="6"/>
      <c r="F807" s="6"/>
      <c r="G807" s="6"/>
      <c r="H807" s="6"/>
      <c r="I807" s="6"/>
      <c r="J807" s="6"/>
      <c r="K807" s="6"/>
      <c r="L807" s="6"/>
      <c r="M807" s="6"/>
      <c r="N807" s="6"/>
      <c r="O807" s="6"/>
      <c r="P807" s="6"/>
      <c r="Q807" s="6"/>
      <c r="R807" s="6"/>
      <c r="S807" s="6"/>
      <c r="T807" s="6"/>
      <c r="U807" s="6"/>
      <c r="V807" s="6"/>
      <c r="W807" s="6"/>
      <c r="X807" s="6"/>
      <c r="Y807" s="6"/>
      <c r="Z807" s="6"/>
      <c r="AA807" s="6"/>
    </row>
    <row r="808" spans="1:27" ht="14.25">
      <c r="A808" s="6"/>
      <c r="B808" s="6"/>
      <c r="C808" s="6"/>
      <c r="D808" s="6"/>
      <c r="E808" s="6"/>
      <c r="F808" s="6"/>
      <c r="G808" s="6"/>
      <c r="H808" s="6"/>
      <c r="I808" s="6"/>
      <c r="J808" s="6"/>
      <c r="K808" s="6"/>
      <c r="L808" s="6"/>
      <c r="M808" s="6"/>
      <c r="N808" s="6"/>
      <c r="O808" s="6"/>
      <c r="P808" s="6"/>
      <c r="Q808" s="6"/>
      <c r="R808" s="6"/>
      <c r="S808" s="6"/>
      <c r="T808" s="6"/>
      <c r="U808" s="6"/>
      <c r="V808" s="6"/>
      <c r="W808" s="6"/>
      <c r="X808" s="6"/>
      <c r="Y808" s="6"/>
      <c r="Z808" s="6"/>
      <c r="AA808" s="6"/>
    </row>
    <row r="809" spans="1:27" ht="14.25">
      <c r="A809" s="6"/>
      <c r="B809" s="6"/>
      <c r="C809" s="6"/>
      <c r="D809" s="6"/>
      <c r="E809" s="6"/>
      <c r="F809" s="6"/>
      <c r="G809" s="6"/>
      <c r="H809" s="6"/>
      <c r="I809" s="6"/>
      <c r="J809" s="6"/>
      <c r="K809" s="6"/>
      <c r="L809" s="6"/>
      <c r="M809" s="6"/>
      <c r="N809" s="6"/>
      <c r="O809" s="6"/>
      <c r="P809" s="6"/>
      <c r="Q809" s="6"/>
      <c r="R809" s="6"/>
      <c r="S809" s="6"/>
      <c r="T809" s="6"/>
      <c r="U809" s="6"/>
      <c r="V809" s="6"/>
      <c r="W809" s="6"/>
      <c r="X809" s="6"/>
      <c r="Y809" s="6"/>
      <c r="Z809" s="6"/>
      <c r="AA809" s="6"/>
    </row>
    <row r="810" spans="1:27" ht="14.25">
      <c r="A810" s="6"/>
      <c r="B810" s="6"/>
      <c r="C810" s="6"/>
      <c r="D810" s="6"/>
      <c r="E810" s="6"/>
      <c r="F810" s="6"/>
      <c r="G810" s="6"/>
      <c r="H810" s="6"/>
      <c r="I810" s="6"/>
      <c r="J810" s="6"/>
      <c r="K810" s="6"/>
      <c r="L810" s="6"/>
      <c r="M810" s="6"/>
      <c r="N810" s="6"/>
      <c r="O810" s="6"/>
      <c r="P810" s="6"/>
      <c r="Q810" s="6"/>
      <c r="R810" s="6"/>
      <c r="S810" s="6"/>
      <c r="T810" s="6"/>
      <c r="U810" s="6"/>
      <c r="V810" s="6"/>
      <c r="W810" s="6"/>
      <c r="X810" s="6"/>
      <c r="Y810" s="6"/>
      <c r="Z810" s="6"/>
      <c r="AA810" s="6"/>
    </row>
    <row r="811" spans="1:27" ht="14.25">
      <c r="A811" s="6"/>
      <c r="B811" s="6"/>
      <c r="C811" s="6"/>
      <c r="D811" s="6"/>
      <c r="E811" s="6"/>
      <c r="F811" s="6"/>
      <c r="G811" s="6"/>
      <c r="H811" s="6"/>
      <c r="I811" s="6"/>
      <c r="J811" s="6"/>
      <c r="K811" s="6"/>
      <c r="L811" s="6"/>
      <c r="M811" s="6"/>
      <c r="N811" s="6"/>
      <c r="O811" s="6"/>
      <c r="P811" s="6"/>
      <c r="Q811" s="6"/>
      <c r="R811" s="6"/>
      <c r="S811" s="6"/>
      <c r="T811" s="6"/>
      <c r="U811" s="6"/>
      <c r="V811" s="6"/>
      <c r="W811" s="6"/>
      <c r="X811" s="6"/>
      <c r="Y811" s="6"/>
      <c r="Z811" s="6"/>
      <c r="AA811" s="6"/>
    </row>
    <row r="812" spans="1:27" ht="14.25">
      <c r="A812" s="6"/>
      <c r="B812" s="6"/>
      <c r="C812" s="6"/>
      <c r="D812" s="6"/>
      <c r="E812" s="6"/>
      <c r="F812" s="6"/>
      <c r="G812" s="6"/>
      <c r="H812" s="6"/>
      <c r="I812" s="6"/>
      <c r="J812" s="6"/>
      <c r="K812" s="6"/>
      <c r="L812" s="6"/>
      <c r="M812" s="6"/>
      <c r="N812" s="6"/>
      <c r="O812" s="6"/>
      <c r="P812" s="6"/>
      <c r="Q812" s="6"/>
      <c r="R812" s="6"/>
      <c r="S812" s="6"/>
      <c r="T812" s="6"/>
      <c r="U812" s="6"/>
      <c r="V812" s="6"/>
      <c r="W812" s="6"/>
      <c r="X812" s="6"/>
      <c r="Y812" s="6"/>
      <c r="Z812" s="6"/>
      <c r="AA812" s="6"/>
    </row>
    <row r="813" spans="1:27" ht="14.25">
      <c r="A813" s="6"/>
      <c r="B813" s="6"/>
      <c r="C813" s="6"/>
      <c r="D813" s="6"/>
      <c r="E813" s="6"/>
      <c r="F813" s="6"/>
      <c r="G813" s="6"/>
      <c r="H813" s="6"/>
      <c r="I813" s="6"/>
      <c r="J813" s="6"/>
      <c r="K813" s="6"/>
      <c r="L813" s="6"/>
      <c r="M813" s="6"/>
      <c r="N813" s="6"/>
      <c r="O813" s="6"/>
      <c r="P813" s="6"/>
      <c r="Q813" s="6"/>
      <c r="R813" s="6"/>
      <c r="S813" s="6"/>
      <c r="T813" s="6"/>
      <c r="U813" s="6"/>
      <c r="V813" s="6"/>
      <c r="W813" s="6"/>
      <c r="X813" s="6"/>
      <c r="Y813" s="6"/>
      <c r="Z813" s="6"/>
      <c r="AA813" s="6"/>
    </row>
    <row r="814" spans="1:27" ht="14.25">
      <c r="A814" s="6"/>
      <c r="B814" s="6"/>
      <c r="C814" s="6"/>
      <c r="D814" s="6"/>
      <c r="E814" s="6"/>
      <c r="F814" s="6"/>
      <c r="G814" s="6"/>
      <c r="H814" s="6"/>
      <c r="I814" s="6"/>
      <c r="J814" s="6"/>
      <c r="K814" s="6"/>
      <c r="L814" s="6"/>
      <c r="M814" s="6"/>
      <c r="N814" s="6"/>
      <c r="O814" s="6"/>
      <c r="P814" s="6"/>
      <c r="Q814" s="6"/>
      <c r="R814" s="6"/>
      <c r="S814" s="6"/>
      <c r="T814" s="6"/>
      <c r="U814" s="6"/>
      <c r="V814" s="6"/>
      <c r="W814" s="6"/>
      <c r="X814" s="6"/>
      <c r="Y814" s="6"/>
      <c r="Z814" s="6"/>
      <c r="AA814" s="6"/>
    </row>
    <row r="815" spans="1:27" ht="14.25">
      <c r="A815" s="6"/>
      <c r="B815" s="6"/>
      <c r="C815" s="6"/>
      <c r="D815" s="6"/>
      <c r="E815" s="6"/>
      <c r="F815" s="6"/>
      <c r="G815" s="6"/>
      <c r="H815" s="6"/>
      <c r="I815" s="6"/>
      <c r="J815" s="6"/>
      <c r="K815" s="6"/>
      <c r="L815" s="6"/>
      <c r="M815" s="6"/>
      <c r="N815" s="6"/>
      <c r="O815" s="6"/>
      <c r="P815" s="6"/>
      <c r="Q815" s="6"/>
      <c r="R815" s="6"/>
      <c r="S815" s="6"/>
      <c r="T815" s="6"/>
      <c r="U815" s="6"/>
      <c r="V815" s="6"/>
      <c r="W815" s="6"/>
      <c r="X815" s="6"/>
      <c r="Y815" s="6"/>
      <c r="Z815" s="6"/>
      <c r="AA815" s="6"/>
    </row>
    <row r="816" spans="1:27" ht="14.25">
      <c r="A816" s="6"/>
      <c r="B816" s="6"/>
      <c r="C816" s="6"/>
      <c r="D816" s="6"/>
      <c r="E816" s="6"/>
      <c r="F816" s="6"/>
      <c r="G816" s="6"/>
      <c r="H816" s="6"/>
      <c r="I816" s="6"/>
      <c r="J816" s="6"/>
      <c r="K816" s="6"/>
      <c r="L816" s="6"/>
      <c r="M816" s="6"/>
      <c r="N816" s="6"/>
      <c r="O816" s="6"/>
      <c r="P816" s="6"/>
      <c r="Q816" s="6"/>
      <c r="R816" s="6"/>
      <c r="S816" s="6"/>
      <c r="T816" s="6"/>
      <c r="U816" s="6"/>
      <c r="V816" s="6"/>
      <c r="W816" s="6"/>
      <c r="X816" s="6"/>
      <c r="Y816" s="6"/>
      <c r="Z816" s="6"/>
      <c r="AA816" s="6"/>
    </row>
    <row r="817" spans="1:27" ht="14.25">
      <c r="A817" s="6"/>
      <c r="B817" s="6"/>
      <c r="C817" s="6"/>
      <c r="D817" s="6"/>
      <c r="E817" s="6"/>
      <c r="F817" s="6"/>
      <c r="G817" s="6"/>
      <c r="H817" s="6"/>
      <c r="I817" s="6"/>
      <c r="J817" s="6"/>
      <c r="K817" s="6"/>
      <c r="L817" s="6"/>
      <c r="M817" s="6"/>
      <c r="N817" s="6"/>
      <c r="O817" s="6"/>
      <c r="P817" s="6"/>
      <c r="Q817" s="6"/>
      <c r="R817" s="6"/>
      <c r="S817" s="6"/>
      <c r="T817" s="6"/>
      <c r="U817" s="6"/>
      <c r="V817" s="6"/>
      <c r="W817" s="6"/>
      <c r="X817" s="6"/>
      <c r="Y817" s="6"/>
      <c r="Z817" s="6"/>
      <c r="AA817" s="6"/>
    </row>
    <row r="818" spans="1:27" ht="14.25">
      <c r="A818" s="6"/>
      <c r="B818" s="6"/>
      <c r="C818" s="6"/>
      <c r="D818" s="6"/>
      <c r="E818" s="6"/>
      <c r="F818" s="6"/>
      <c r="G818" s="6"/>
      <c r="H818" s="6"/>
      <c r="I818" s="6"/>
      <c r="J818" s="6"/>
      <c r="K818" s="6"/>
      <c r="L818" s="6"/>
      <c r="M818" s="6"/>
      <c r="N818" s="6"/>
      <c r="O818" s="6"/>
      <c r="P818" s="6"/>
      <c r="Q818" s="6"/>
      <c r="R818" s="6"/>
      <c r="S818" s="6"/>
      <c r="T818" s="6"/>
      <c r="U818" s="6"/>
      <c r="V818" s="6"/>
      <c r="W818" s="6"/>
      <c r="X818" s="6"/>
      <c r="Y818" s="6"/>
      <c r="Z818" s="6"/>
      <c r="AA818" s="6"/>
    </row>
    <row r="819" spans="1:27" ht="14.25">
      <c r="A819" s="6"/>
      <c r="B819" s="6"/>
      <c r="C819" s="6"/>
      <c r="D819" s="6"/>
      <c r="E819" s="6"/>
      <c r="F819" s="6"/>
      <c r="G819" s="6"/>
      <c r="H819" s="6"/>
      <c r="I819" s="6"/>
      <c r="J819" s="6"/>
      <c r="K819" s="6"/>
      <c r="L819" s="6"/>
      <c r="M819" s="6"/>
      <c r="N819" s="6"/>
      <c r="O819" s="6"/>
      <c r="P819" s="6"/>
      <c r="Q819" s="6"/>
      <c r="R819" s="6"/>
      <c r="S819" s="6"/>
      <c r="T819" s="6"/>
      <c r="U819" s="6"/>
      <c r="V819" s="6"/>
      <c r="W819" s="6"/>
      <c r="X819" s="6"/>
      <c r="Y819" s="6"/>
      <c r="Z819" s="6"/>
      <c r="AA819" s="6"/>
    </row>
    <row r="820" spans="1:27" ht="14.25">
      <c r="A820" s="6"/>
      <c r="B820" s="6"/>
      <c r="C820" s="6"/>
      <c r="D820" s="6"/>
      <c r="E820" s="6"/>
      <c r="F820" s="6"/>
      <c r="G820" s="6"/>
      <c r="H820" s="6"/>
      <c r="I820" s="6"/>
      <c r="J820" s="6"/>
      <c r="K820" s="6"/>
      <c r="L820" s="6"/>
      <c r="M820" s="6"/>
      <c r="N820" s="6"/>
      <c r="O820" s="6"/>
      <c r="P820" s="6"/>
      <c r="Q820" s="6"/>
      <c r="R820" s="6"/>
      <c r="S820" s="6"/>
      <c r="T820" s="6"/>
      <c r="U820" s="6"/>
      <c r="V820" s="6"/>
      <c r="W820" s="6"/>
      <c r="X820" s="6"/>
      <c r="Y820" s="6"/>
      <c r="Z820" s="6"/>
      <c r="AA820" s="6"/>
    </row>
    <row r="821" spans="1:27" ht="14.25">
      <c r="A821" s="6"/>
      <c r="B821" s="6"/>
      <c r="C821" s="6"/>
      <c r="D821" s="6"/>
      <c r="E821" s="6"/>
      <c r="F821" s="6"/>
      <c r="G821" s="6"/>
      <c r="H821" s="6"/>
      <c r="I821" s="6"/>
      <c r="J821" s="6"/>
      <c r="K821" s="6"/>
      <c r="L821" s="6"/>
      <c r="M821" s="6"/>
      <c r="N821" s="6"/>
      <c r="O821" s="6"/>
      <c r="P821" s="6"/>
      <c r="Q821" s="6"/>
      <c r="R821" s="6"/>
      <c r="S821" s="6"/>
      <c r="T821" s="6"/>
      <c r="U821" s="6"/>
      <c r="V821" s="6"/>
      <c r="W821" s="6"/>
      <c r="X821" s="6"/>
      <c r="Y821" s="6"/>
      <c r="Z821" s="6"/>
      <c r="AA821" s="6"/>
    </row>
    <row r="822" spans="1:27" ht="14.25">
      <c r="A822" s="6"/>
      <c r="B822" s="6"/>
      <c r="C822" s="6"/>
      <c r="D822" s="6"/>
      <c r="E822" s="6"/>
      <c r="F822" s="6"/>
      <c r="G822" s="6"/>
      <c r="H822" s="6"/>
      <c r="I822" s="6"/>
      <c r="J822" s="6"/>
      <c r="K822" s="6"/>
      <c r="L822" s="6"/>
      <c r="M822" s="6"/>
      <c r="N822" s="6"/>
      <c r="O822" s="6"/>
      <c r="P822" s="6"/>
      <c r="Q822" s="6"/>
      <c r="R822" s="6"/>
      <c r="S822" s="6"/>
      <c r="T822" s="6"/>
      <c r="U822" s="6"/>
      <c r="V822" s="6"/>
      <c r="W822" s="6"/>
      <c r="X822" s="6"/>
      <c r="Y822" s="6"/>
      <c r="Z822" s="6"/>
      <c r="AA822" s="6"/>
    </row>
    <row r="823" spans="1:27" ht="14.25">
      <c r="A823" s="6"/>
      <c r="B823" s="6"/>
      <c r="C823" s="6"/>
      <c r="D823" s="6"/>
      <c r="E823" s="6"/>
      <c r="F823" s="6"/>
      <c r="G823" s="6"/>
      <c r="H823" s="6"/>
      <c r="I823" s="6"/>
      <c r="J823" s="6"/>
      <c r="K823" s="6"/>
      <c r="L823" s="6"/>
      <c r="M823" s="6"/>
      <c r="N823" s="6"/>
      <c r="O823" s="6"/>
      <c r="P823" s="6"/>
      <c r="Q823" s="6"/>
      <c r="R823" s="6"/>
      <c r="S823" s="6"/>
      <c r="T823" s="6"/>
      <c r="U823" s="6"/>
      <c r="V823" s="6"/>
      <c r="W823" s="6"/>
      <c r="X823" s="6"/>
      <c r="Y823" s="6"/>
      <c r="Z823" s="6"/>
      <c r="AA823" s="6"/>
    </row>
    <row r="824" spans="1:27" ht="14.25">
      <c r="A824" s="6"/>
      <c r="B824" s="6"/>
      <c r="C824" s="6"/>
      <c r="D824" s="6"/>
      <c r="E824" s="6"/>
      <c r="F824" s="6"/>
      <c r="G824" s="6"/>
      <c r="H824" s="6"/>
      <c r="I824" s="6"/>
      <c r="J824" s="6"/>
      <c r="K824" s="6"/>
      <c r="L824" s="6"/>
      <c r="M824" s="6"/>
      <c r="N824" s="6"/>
      <c r="O824" s="6"/>
      <c r="P824" s="6"/>
      <c r="Q824" s="6"/>
      <c r="R824" s="6"/>
      <c r="S824" s="6"/>
      <c r="T824" s="6"/>
      <c r="U824" s="6"/>
      <c r="V824" s="6"/>
      <c r="W824" s="6"/>
      <c r="X824" s="6"/>
      <c r="Y824" s="6"/>
      <c r="Z824" s="6"/>
      <c r="AA824" s="6"/>
    </row>
    <row r="825" spans="1:27" ht="14.25">
      <c r="A825" s="6"/>
      <c r="B825" s="6"/>
      <c r="C825" s="6"/>
      <c r="D825" s="6"/>
      <c r="E825" s="6"/>
      <c r="F825" s="6"/>
      <c r="G825" s="6"/>
      <c r="H825" s="6"/>
      <c r="I825" s="6"/>
      <c r="J825" s="6"/>
      <c r="K825" s="6"/>
      <c r="L825" s="6"/>
      <c r="M825" s="6"/>
      <c r="N825" s="6"/>
      <c r="O825" s="6"/>
      <c r="P825" s="6"/>
      <c r="Q825" s="6"/>
      <c r="R825" s="6"/>
      <c r="S825" s="6"/>
      <c r="T825" s="6"/>
      <c r="U825" s="6"/>
      <c r="V825" s="6"/>
      <c r="W825" s="6"/>
      <c r="X825" s="6"/>
      <c r="Y825" s="6"/>
      <c r="Z825" s="6"/>
      <c r="AA825" s="6"/>
    </row>
    <row r="826" spans="1:27" ht="14.25">
      <c r="A826" s="6"/>
      <c r="B826" s="6"/>
      <c r="C826" s="6"/>
      <c r="D826" s="6"/>
      <c r="E826" s="6"/>
      <c r="F826" s="6"/>
      <c r="G826" s="6"/>
      <c r="H826" s="6"/>
      <c r="I826" s="6"/>
      <c r="J826" s="6"/>
      <c r="K826" s="6"/>
      <c r="L826" s="6"/>
      <c r="M826" s="6"/>
      <c r="N826" s="6"/>
      <c r="O826" s="6"/>
      <c r="P826" s="6"/>
      <c r="Q826" s="6"/>
      <c r="R826" s="6"/>
      <c r="S826" s="6"/>
      <c r="T826" s="6"/>
      <c r="U826" s="6"/>
      <c r="V826" s="6"/>
      <c r="W826" s="6"/>
      <c r="X826" s="6"/>
      <c r="Y826" s="6"/>
      <c r="Z826" s="6"/>
      <c r="AA826" s="6"/>
    </row>
    <row r="827" spans="1:27" ht="14.25">
      <c r="A827" s="6"/>
      <c r="B827" s="6"/>
      <c r="C827" s="6"/>
      <c r="D827" s="6"/>
      <c r="E827" s="6"/>
      <c r="F827" s="6"/>
      <c r="G827" s="6"/>
      <c r="H827" s="6"/>
      <c r="I827" s="6"/>
      <c r="J827" s="6"/>
      <c r="K827" s="6"/>
      <c r="L827" s="6"/>
      <c r="M827" s="6"/>
      <c r="N827" s="6"/>
      <c r="O827" s="6"/>
      <c r="P827" s="6"/>
      <c r="Q827" s="6"/>
      <c r="R827" s="6"/>
      <c r="S827" s="6"/>
      <c r="T827" s="6"/>
      <c r="U827" s="6"/>
      <c r="V827" s="6"/>
      <c r="W827" s="6"/>
      <c r="X827" s="6"/>
      <c r="Y827" s="6"/>
      <c r="Z827" s="6"/>
      <c r="AA827" s="6"/>
    </row>
    <row r="828" spans="1:27" ht="14.25">
      <c r="A828" s="6"/>
      <c r="B828" s="6"/>
      <c r="C828" s="6"/>
      <c r="D828" s="6"/>
      <c r="E828" s="6"/>
      <c r="F828" s="6"/>
      <c r="G828" s="6"/>
      <c r="H828" s="6"/>
      <c r="I828" s="6"/>
      <c r="J828" s="6"/>
      <c r="K828" s="6"/>
      <c r="L828" s="6"/>
      <c r="M828" s="6"/>
      <c r="N828" s="6"/>
      <c r="O828" s="6"/>
      <c r="P828" s="6"/>
      <c r="Q828" s="6"/>
      <c r="R828" s="6"/>
      <c r="S828" s="6"/>
      <c r="T828" s="6"/>
      <c r="U828" s="6"/>
      <c r="V828" s="6"/>
      <c r="W828" s="6"/>
      <c r="X828" s="6"/>
      <c r="Y828" s="6"/>
      <c r="Z828" s="6"/>
      <c r="AA828" s="6"/>
    </row>
    <row r="829" spans="1:27" ht="14.25">
      <c r="A829" s="6"/>
      <c r="B829" s="6"/>
      <c r="C829" s="6"/>
      <c r="D829" s="6"/>
      <c r="E829" s="6"/>
      <c r="F829" s="6"/>
      <c r="G829" s="6"/>
      <c r="H829" s="6"/>
      <c r="I829" s="6"/>
      <c r="J829" s="6"/>
      <c r="K829" s="6"/>
      <c r="L829" s="6"/>
      <c r="M829" s="6"/>
      <c r="N829" s="6"/>
      <c r="O829" s="6"/>
      <c r="P829" s="6"/>
      <c r="Q829" s="6"/>
      <c r="R829" s="6"/>
      <c r="S829" s="6"/>
      <c r="T829" s="6"/>
      <c r="U829" s="6"/>
      <c r="V829" s="6"/>
      <c r="W829" s="6"/>
      <c r="X829" s="6"/>
      <c r="Y829" s="6"/>
      <c r="Z829" s="6"/>
      <c r="AA829" s="6"/>
    </row>
    <row r="830" spans="1:27" ht="14.25">
      <c r="A830" s="6"/>
      <c r="B830" s="6"/>
      <c r="C830" s="6"/>
      <c r="D830" s="6"/>
      <c r="E830" s="6"/>
      <c r="F830" s="6"/>
      <c r="G830" s="6"/>
      <c r="H830" s="6"/>
      <c r="I830" s="6"/>
      <c r="J830" s="6"/>
      <c r="K830" s="6"/>
      <c r="L830" s="6"/>
      <c r="M830" s="6"/>
      <c r="N830" s="6"/>
      <c r="O830" s="6"/>
      <c r="P830" s="6"/>
      <c r="Q830" s="6"/>
      <c r="R830" s="6"/>
      <c r="S830" s="6"/>
      <c r="T830" s="6"/>
      <c r="U830" s="6"/>
      <c r="V830" s="6"/>
      <c r="W830" s="6"/>
      <c r="X830" s="6"/>
      <c r="Y830" s="6"/>
      <c r="Z830" s="6"/>
      <c r="AA830" s="6"/>
    </row>
    <row r="831" spans="1:27" ht="14.25">
      <c r="A831" s="6"/>
      <c r="B831" s="6"/>
      <c r="C831" s="6"/>
      <c r="D831" s="6"/>
      <c r="E831" s="6"/>
      <c r="F831" s="6"/>
      <c r="G831" s="6"/>
      <c r="H831" s="6"/>
      <c r="I831" s="6"/>
      <c r="J831" s="6"/>
      <c r="K831" s="6"/>
      <c r="L831" s="6"/>
      <c r="M831" s="6"/>
      <c r="N831" s="6"/>
      <c r="O831" s="6"/>
      <c r="P831" s="6"/>
      <c r="Q831" s="6"/>
      <c r="R831" s="6"/>
      <c r="S831" s="6"/>
      <c r="T831" s="6"/>
      <c r="U831" s="6"/>
      <c r="V831" s="6"/>
      <c r="W831" s="6"/>
      <c r="X831" s="6"/>
      <c r="Y831" s="6"/>
      <c r="Z831" s="6"/>
      <c r="AA831" s="6"/>
    </row>
    <row r="832" spans="1:27" ht="14.25">
      <c r="A832" s="6"/>
      <c r="B832" s="6"/>
      <c r="C832" s="6"/>
      <c r="D832" s="6"/>
      <c r="E832" s="6"/>
      <c r="F832" s="6"/>
      <c r="G832" s="6"/>
      <c r="H832" s="6"/>
      <c r="I832" s="6"/>
      <c r="J832" s="6"/>
      <c r="K832" s="6"/>
      <c r="L832" s="6"/>
      <c r="M832" s="6"/>
      <c r="N832" s="6"/>
      <c r="O832" s="6"/>
      <c r="P832" s="6"/>
      <c r="Q832" s="6"/>
      <c r="R832" s="6"/>
      <c r="S832" s="6"/>
      <c r="T832" s="6"/>
      <c r="U832" s="6"/>
      <c r="V832" s="6"/>
      <c r="W832" s="6"/>
      <c r="X832" s="6"/>
      <c r="Y832" s="6"/>
      <c r="Z832" s="6"/>
      <c r="AA832" s="6"/>
    </row>
    <row r="833" spans="1:27" ht="14.25">
      <c r="A833" s="6"/>
      <c r="B833" s="6"/>
      <c r="C833" s="6"/>
      <c r="D833" s="6"/>
      <c r="E833" s="6"/>
      <c r="F833" s="6"/>
      <c r="G833" s="6"/>
      <c r="H833" s="6"/>
      <c r="I833" s="6"/>
      <c r="J833" s="6"/>
      <c r="K833" s="6"/>
      <c r="L833" s="6"/>
      <c r="M833" s="6"/>
      <c r="N833" s="6"/>
      <c r="O833" s="6"/>
      <c r="P833" s="6"/>
      <c r="Q833" s="6"/>
      <c r="R833" s="6"/>
      <c r="S833" s="6"/>
      <c r="T833" s="6"/>
      <c r="U833" s="6"/>
      <c r="V833" s="6"/>
      <c r="W833" s="6"/>
      <c r="X833" s="6"/>
      <c r="Y833" s="6"/>
      <c r="Z833" s="6"/>
      <c r="AA833" s="6"/>
    </row>
    <row r="834" spans="1:27" ht="14.25">
      <c r="A834" s="6"/>
      <c r="B834" s="6"/>
      <c r="C834" s="6"/>
      <c r="D834" s="6"/>
      <c r="E834" s="6"/>
      <c r="F834" s="6"/>
      <c r="G834" s="6"/>
      <c r="H834" s="6"/>
      <c r="I834" s="6"/>
      <c r="J834" s="6"/>
      <c r="K834" s="6"/>
      <c r="L834" s="6"/>
      <c r="M834" s="6"/>
      <c r="N834" s="6"/>
      <c r="O834" s="6"/>
      <c r="P834" s="6"/>
      <c r="Q834" s="6"/>
      <c r="R834" s="6"/>
      <c r="S834" s="6"/>
      <c r="T834" s="6"/>
      <c r="U834" s="6"/>
      <c r="V834" s="6"/>
      <c r="W834" s="6"/>
      <c r="X834" s="6"/>
      <c r="Y834" s="6"/>
      <c r="Z834" s="6"/>
      <c r="AA834" s="6"/>
    </row>
    <row r="835" spans="1:27" ht="14.25">
      <c r="A835" s="6"/>
      <c r="B835" s="6"/>
      <c r="C835" s="6"/>
      <c r="D835" s="6"/>
      <c r="E835" s="6"/>
      <c r="F835" s="6"/>
      <c r="G835" s="6"/>
      <c r="H835" s="6"/>
      <c r="I835" s="6"/>
      <c r="J835" s="6"/>
      <c r="K835" s="6"/>
      <c r="L835" s="6"/>
      <c r="M835" s="6"/>
      <c r="N835" s="6"/>
      <c r="O835" s="6"/>
      <c r="P835" s="6"/>
      <c r="Q835" s="6"/>
      <c r="R835" s="6"/>
      <c r="S835" s="6"/>
      <c r="T835" s="6"/>
      <c r="U835" s="6"/>
      <c r="V835" s="6"/>
      <c r="W835" s="6"/>
      <c r="X835" s="6"/>
      <c r="Y835" s="6"/>
      <c r="Z835" s="6"/>
      <c r="AA835" s="6"/>
    </row>
    <row r="836" spans="1:27" ht="14.25">
      <c r="A836" s="6"/>
      <c r="B836" s="6"/>
      <c r="C836" s="6"/>
      <c r="D836" s="6"/>
      <c r="E836" s="6"/>
      <c r="F836" s="6"/>
      <c r="G836" s="6"/>
      <c r="H836" s="6"/>
      <c r="I836" s="6"/>
      <c r="J836" s="6"/>
      <c r="K836" s="6"/>
      <c r="L836" s="6"/>
      <c r="M836" s="6"/>
      <c r="N836" s="6"/>
      <c r="O836" s="6"/>
      <c r="P836" s="6"/>
      <c r="Q836" s="6"/>
      <c r="R836" s="6"/>
      <c r="S836" s="6"/>
      <c r="T836" s="6"/>
      <c r="U836" s="6"/>
      <c r="V836" s="6"/>
      <c r="W836" s="6"/>
      <c r="X836" s="6"/>
      <c r="Y836" s="6"/>
      <c r="Z836" s="6"/>
      <c r="AA836" s="6"/>
    </row>
    <row r="837" spans="1:27" ht="14.25">
      <c r="A837" s="6"/>
      <c r="B837" s="6"/>
      <c r="C837" s="6"/>
      <c r="D837" s="6"/>
      <c r="E837" s="6"/>
      <c r="F837" s="6"/>
      <c r="G837" s="6"/>
      <c r="H837" s="6"/>
      <c r="I837" s="6"/>
      <c r="J837" s="6"/>
      <c r="K837" s="6"/>
      <c r="L837" s="6"/>
      <c r="M837" s="6"/>
      <c r="N837" s="6"/>
      <c r="O837" s="6"/>
      <c r="P837" s="6"/>
      <c r="Q837" s="6"/>
      <c r="R837" s="6"/>
      <c r="S837" s="6"/>
      <c r="T837" s="6"/>
      <c r="U837" s="6"/>
      <c r="V837" s="6"/>
      <c r="W837" s="6"/>
      <c r="X837" s="6"/>
      <c r="Y837" s="6"/>
      <c r="Z837" s="6"/>
      <c r="AA837" s="6"/>
    </row>
    <row r="838" spans="1:27" ht="14.25">
      <c r="A838" s="6"/>
      <c r="B838" s="6"/>
      <c r="C838" s="6"/>
      <c r="D838" s="6"/>
      <c r="E838" s="6"/>
      <c r="F838" s="6"/>
      <c r="G838" s="6"/>
      <c r="H838" s="6"/>
      <c r="I838" s="6"/>
      <c r="J838" s="6"/>
      <c r="K838" s="6"/>
      <c r="L838" s="6"/>
      <c r="M838" s="6"/>
      <c r="N838" s="6"/>
      <c r="O838" s="6"/>
      <c r="P838" s="6"/>
      <c r="Q838" s="6"/>
      <c r="R838" s="6"/>
      <c r="S838" s="6"/>
      <c r="T838" s="6"/>
      <c r="U838" s="6"/>
      <c r="V838" s="6"/>
      <c r="W838" s="6"/>
      <c r="X838" s="6"/>
      <c r="Y838" s="6"/>
      <c r="Z838" s="6"/>
      <c r="AA838" s="6"/>
    </row>
    <row r="839" spans="1:27" ht="14.25">
      <c r="A839" s="6"/>
      <c r="B839" s="6"/>
      <c r="C839" s="6"/>
      <c r="D839" s="6"/>
      <c r="E839" s="6"/>
      <c r="F839" s="6"/>
      <c r="G839" s="6"/>
      <c r="H839" s="6"/>
      <c r="I839" s="6"/>
      <c r="J839" s="6"/>
      <c r="K839" s="6"/>
      <c r="L839" s="6"/>
      <c r="M839" s="6"/>
      <c r="N839" s="6"/>
      <c r="O839" s="6"/>
      <c r="P839" s="6"/>
      <c r="Q839" s="6"/>
      <c r="R839" s="6"/>
      <c r="S839" s="6"/>
      <c r="T839" s="6"/>
      <c r="U839" s="6"/>
      <c r="V839" s="6"/>
      <c r="W839" s="6"/>
      <c r="X839" s="6"/>
      <c r="Y839" s="6"/>
      <c r="Z839" s="6"/>
      <c r="AA839" s="6"/>
    </row>
    <row r="840" spans="1:27" ht="14.25">
      <c r="A840" s="6"/>
      <c r="B840" s="6"/>
      <c r="C840" s="6"/>
      <c r="D840" s="6"/>
      <c r="E840" s="6"/>
      <c r="F840" s="6"/>
      <c r="G840" s="6"/>
      <c r="H840" s="6"/>
      <c r="I840" s="6"/>
      <c r="J840" s="6"/>
      <c r="K840" s="6"/>
      <c r="L840" s="6"/>
      <c r="M840" s="6"/>
      <c r="N840" s="6"/>
      <c r="O840" s="6"/>
      <c r="P840" s="6"/>
      <c r="Q840" s="6"/>
      <c r="R840" s="6"/>
      <c r="S840" s="6"/>
      <c r="T840" s="6"/>
      <c r="U840" s="6"/>
      <c r="V840" s="6"/>
      <c r="W840" s="6"/>
      <c r="X840" s="6"/>
      <c r="Y840" s="6"/>
      <c r="Z840" s="6"/>
      <c r="AA840" s="6"/>
    </row>
    <row r="841" spans="1:27" ht="14.25">
      <c r="A841" s="6"/>
      <c r="B841" s="6"/>
      <c r="C841" s="6"/>
      <c r="D841" s="6"/>
      <c r="E841" s="6"/>
      <c r="F841" s="6"/>
      <c r="G841" s="6"/>
      <c r="H841" s="6"/>
      <c r="I841" s="6"/>
      <c r="J841" s="6"/>
      <c r="K841" s="6"/>
      <c r="L841" s="6"/>
      <c r="M841" s="6"/>
      <c r="N841" s="6"/>
      <c r="O841" s="6"/>
      <c r="P841" s="6"/>
      <c r="Q841" s="6"/>
      <c r="R841" s="6"/>
      <c r="S841" s="6"/>
      <c r="T841" s="6"/>
      <c r="U841" s="6"/>
      <c r="V841" s="6"/>
      <c r="W841" s="6"/>
      <c r="X841" s="6"/>
      <c r="Y841" s="6"/>
      <c r="Z841" s="6"/>
      <c r="AA841" s="6"/>
    </row>
    <row r="842" spans="1:27" ht="14.25">
      <c r="A842" s="6"/>
      <c r="B842" s="6"/>
      <c r="C842" s="6"/>
      <c r="D842" s="6"/>
      <c r="E842" s="6"/>
      <c r="F842" s="6"/>
      <c r="G842" s="6"/>
      <c r="H842" s="6"/>
      <c r="I842" s="6"/>
      <c r="J842" s="6"/>
      <c r="K842" s="6"/>
      <c r="L842" s="6"/>
      <c r="M842" s="6"/>
      <c r="N842" s="6"/>
      <c r="O842" s="6"/>
      <c r="P842" s="6"/>
      <c r="Q842" s="6"/>
      <c r="R842" s="6"/>
      <c r="S842" s="6"/>
      <c r="T842" s="6"/>
      <c r="U842" s="6"/>
      <c r="V842" s="6"/>
      <c r="W842" s="6"/>
      <c r="X842" s="6"/>
      <c r="Y842" s="6"/>
      <c r="Z842" s="6"/>
      <c r="AA842" s="6"/>
    </row>
    <row r="843" spans="1:27" ht="14.25">
      <c r="A843" s="6"/>
      <c r="B843" s="6"/>
      <c r="C843" s="6"/>
      <c r="D843" s="6"/>
      <c r="E843" s="6"/>
      <c r="F843" s="6"/>
      <c r="G843" s="6"/>
      <c r="H843" s="6"/>
      <c r="I843" s="6"/>
      <c r="J843" s="6"/>
      <c r="K843" s="6"/>
      <c r="L843" s="6"/>
      <c r="M843" s="6"/>
      <c r="N843" s="6"/>
      <c r="O843" s="6"/>
      <c r="P843" s="6"/>
      <c r="Q843" s="6"/>
      <c r="R843" s="6"/>
      <c r="S843" s="6"/>
      <c r="T843" s="6"/>
      <c r="U843" s="6"/>
      <c r="V843" s="6"/>
      <c r="W843" s="6"/>
      <c r="X843" s="6"/>
      <c r="Y843" s="6"/>
      <c r="Z843" s="6"/>
      <c r="AA843" s="6"/>
    </row>
    <row r="844" spans="1:27" ht="14.25">
      <c r="A844" s="6"/>
      <c r="B844" s="6"/>
      <c r="C844" s="6"/>
      <c r="D844" s="6"/>
      <c r="E844" s="6"/>
      <c r="F844" s="6"/>
      <c r="G844" s="6"/>
      <c r="H844" s="6"/>
      <c r="I844" s="6"/>
      <c r="J844" s="6"/>
      <c r="K844" s="6"/>
      <c r="L844" s="6"/>
      <c r="M844" s="6"/>
      <c r="N844" s="6"/>
      <c r="O844" s="6"/>
      <c r="P844" s="6"/>
      <c r="Q844" s="6"/>
      <c r="R844" s="6"/>
      <c r="S844" s="6"/>
      <c r="T844" s="6"/>
      <c r="U844" s="6"/>
      <c r="V844" s="6"/>
      <c r="W844" s="6"/>
      <c r="X844" s="6"/>
      <c r="Y844" s="6"/>
      <c r="Z844" s="6"/>
      <c r="AA844" s="6"/>
    </row>
    <row r="845" spans="1:27" ht="14.25">
      <c r="A845" s="6"/>
      <c r="B845" s="6"/>
      <c r="C845" s="6"/>
      <c r="D845" s="6"/>
      <c r="E845" s="6"/>
      <c r="F845" s="6"/>
      <c r="G845" s="6"/>
      <c r="H845" s="6"/>
      <c r="I845" s="6"/>
      <c r="J845" s="6"/>
      <c r="K845" s="6"/>
      <c r="L845" s="6"/>
      <c r="M845" s="6"/>
      <c r="N845" s="6"/>
      <c r="O845" s="6"/>
      <c r="P845" s="6"/>
      <c r="Q845" s="6"/>
      <c r="R845" s="6"/>
      <c r="S845" s="6"/>
      <c r="T845" s="6"/>
      <c r="U845" s="6"/>
      <c r="V845" s="6"/>
      <c r="W845" s="6"/>
      <c r="X845" s="6"/>
      <c r="Y845" s="6"/>
      <c r="Z845" s="6"/>
      <c r="AA845" s="6"/>
    </row>
    <row r="846" spans="1:27" ht="14.25">
      <c r="A846" s="6"/>
      <c r="B846" s="6"/>
      <c r="C846" s="6"/>
      <c r="D846" s="6"/>
      <c r="E846" s="6"/>
      <c r="F846" s="6"/>
      <c r="G846" s="6"/>
      <c r="H846" s="6"/>
      <c r="I846" s="6"/>
      <c r="J846" s="6"/>
      <c r="K846" s="6"/>
      <c r="L846" s="6"/>
      <c r="M846" s="6"/>
      <c r="N846" s="6"/>
      <c r="O846" s="6"/>
      <c r="P846" s="6"/>
      <c r="Q846" s="6"/>
      <c r="R846" s="6"/>
      <c r="S846" s="6"/>
      <c r="T846" s="6"/>
      <c r="U846" s="6"/>
      <c r="V846" s="6"/>
      <c r="W846" s="6"/>
      <c r="X846" s="6"/>
      <c r="Y846" s="6"/>
      <c r="Z846" s="6"/>
      <c r="AA846" s="6"/>
    </row>
    <row r="847" spans="1:27" ht="14.25">
      <c r="A847" s="6"/>
      <c r="B847" s="6"/>
      <c r="C847" s="6"/>
      <c r="D847" s="6"/>
      <c r="E847" s="6"/>
      <c r="F847" s="6"/>
      <c r="G847" s="6"/>
      <c r="H847" s="6"/>
      <c r="I847" s="6"/>
      <c r="J847" s="6"/>
      <c r="K847" s="6"/>
      <c r="L847" s="6"/>
      <c r="M847" s="6"/>
      <c r="N847" s="6"/>
      <c r="O847" s="6"/>
      <c r="P847" s="6"/>
      <c r="Q847" s="6"/>
      <c r="R847" s="6"/>
      <c r="S847" s="6"/>
      <c r="T847" s="6"/>
      <c r="U847" s="6"/>
      <c r="V847" s="6"/>
      <c r="W847" s="6"/>
      <c r="X847" s="6"/>
      <c r="Y847" s="6"/>
      <c r="Z847" s="6"/>
      <c r="AA847" s="6"/>
    </row>
    <row r="848" spans="1:27" ht="14.25">
      <c r="A848" s="6"/>
      <c r="B848" s="6"/>
      <c r="C848" s="6"/>
      <c r="D848" s="6"/>
      <c r="E848" s="6"/>
      <c r="F848" s="6"/>
      <c r="G848" s="6"/>
      <c r="H848" s="6"/>
      <c r="I848" s="6"/>
      <c r="J848" s="6"/>
      <c r="K848" s="6"/>
      <c r="L848" s="6"/>
      <c r="M848" s="6"/>
      <c r="N848" s="6"/>
      <c r="O848" s="6"/>
      <c r="P848" s="6"/>
      <c r="Q848" s="6"/>
      <c r="R848" s="6"/>
      <c r="S848" s="6"/>
      <c r="T848" s="6"/>
      <c r="U848" s="6"/>
      <c r="V848" s="6"/>
      <c r="W848" s="6"/>
      <c r="X848" s="6"/>
      <c r="Y848" s="6"/>
      <c r="Z848" s="6"/>
      <c r="AA848" s="6"/>
    </row>
    <row r="849" spans="1:27" ht="14.25">
      <c r="A849" s="6"/>
      <c r="B849" s="6"/>
      <c r="C849" s="6"/>
      <c r="D849" s="6"/>
      <c r="E849" s="6"/>
      <c r="F849" s="6"/>
      <c r="G849" s="6"/>
      <c r="H849" s="6"/>
      <c r="I849" s="6"/>
      <c r="J849" s="6"/>
      <c r="K849" s="6"/>
      <c r="L849" s="6"/>
      <c r="M849" s="6"/>
      <c r="N849" s="6"/>
      <c r="O849" s="6"/>
      <c r="P849" s="6"/>
      <c r="Q849" s="6"/>
      <c r="R849" s="6"/>
      <c r="S849" s="6"/>
      <c r="T849" s="6"/>
      <c r="U849" s="6"/>
      <c r="V849" s="6"/>
      <c r="W849" s="6"/>
      <c r="X849" s="6"/>
      <c r="Y849" s="6"/>
      <c r="Z849" s="6"/>
      <c r="AA849" s="6"/>
    </row>
    <row r="850" spans="1:27" ht="14.25">
      <c r="A850" s="6"/>
      <c r="B850" s="6"/>
      <c r="C850" s="6"/>
      <c r="D850" s="6"/>
      <c r="E850" s="6"/>
      <c r="F850" s="6"/>
      <c r="G850" s="6"/>
      <c r="H850" s="6"/>
      <c r="I850" s="6"/>
      <c r="J850" s="6"/>
      <c r="K850" s="6"/>
      <c r="L850" s="6"/>
      <c r="M850" s="6"/>
      <c r="N850" s="6"/>
      <c r="O850" s="6"/>
      <c r="P850" s="6"/>
      <c r="Q850" s="6"/>
      <c r="R850" s="6"/>
      <c r="S850" s="6"/>
      <c r="T850" s="6"/>
      <c r="U850" s="6"/>
      <c r="V850" s="6"/>
      <c r="W850" s="6"/>
      <c r="X850" s="6"/>
      <c r="Y850" s="6"/>
      <c r="Z850" s="6"/>
      <c r="AA850" s="6"/>
    </row>
    <row r="851" spans="1:27" ht="14.25">
      <c r="A851" s="6"/>
      <c r="B851" s="6"/>
      <c r="C851" s="6"/>
      <c r="D851" s="6"/>
      <c r="E851" s="6"/>
      <c r="F851" s="6"/>
      <c r="G851" s="6"/>
      <c r="H851" s="6"/>
      <c r="I851" s="6"/>
      <c r="J851" s="6"/>
      <c r="K851" s="6"/>
      <c r="L851" s="6"/>
      <c r="M851" s="6"/>
      <c r="N851" s="6"/>
      <c r="O851" s="6"/>
      <c r="P851" s="6"/>
      <c r="Q851" s="6"/>
      <c r="R851" s="6"/>
      <c r="S851" s="6"/>
      <c r="T851" s="6"/>
      <c r="U851" s="6"/>
      <c r="V851" s="6"/>
      <c r="W851" s="6"/>
      <c r="X851" s="6"/>
      <c r="Y851" s="6"/>
      <c r="Z851" s="6"/>
      <c r="AA851" s="6"/>
    </row>
    <row r="852" spans="1:27" ht="14.25">
      <c r="A852" s="6"/>
      <c r="B852" s="6"/>
      <c r="C852" s="6"/>
      <c r="D852" s="6"/>
      <c r="E852" s="6"/>
      <c r="F852" s="6"/>
      <c r="G852" s="6"/>
      <c r="H852" s="6"/>
      <c r="I852" s="6"/>
      <c r="J852" s="6"/>
      <c r="K852" s="6"/>
      <c r="L852" s="6"/>
      <c r="M852" s="6"/>
      <c r="N852" s="6"/>
      <c r="O852" s="6"/>
      <c r="P852" s="6"/>
      <c r="Q852" s="6"/>
      <c r="R852" s="6"/>
      <c r="S852" s="6"/>
      <c r="T852" s="6"/>
      <c r="U852" s="6"/>
      <c r="V852" s="6"/>
      <c r="W852" s="6"/>
      <c r="X852" s="6"/>
      <c r="Y852" s="6"/>
      <c r="Z852" s="6"/>
      <c r="AA852" s="6"/>
    </row>
    <row r="853" spans="1:27" ht="14.25">
      <c r="A853" s="6"/>
      <c r="B853" s="6"/>
      <c r="C853" s="6"/>
      <c r="D853" s="6"/>
      <c r="E853" s="6"/>
      <c r="F853" s="6"/>
      <c r="G853" s="6"/>
      <c r="H853" s="6"/>
      <c r="I853" s="6"/>
      <c r="J853" s="6"/>
      <c r="K853" s="6"/>
      <c r="L853" s="6"/>
      <c r="M853" s="6"/>
      <c r="N853" s="6"/>
      <c r="O853" s="6"/>
      <c r="P853" s="6"/>
      <c r="Q853" s="6"/>
      <c r="R853" s="6"/>
      <c r="S853" s="6"/>
      <c r="T853" s="6"/>
      <c r="U853" s="6"/>
      <c r="V853" s="6"/>
      <c r="W853" s="6"/>
      <c r="X853" s="6"/>
      <c r="Y853" s="6"/>
      <c r="Z853" s="6"/>
      <c r="AA853" s="6"/>
    </row>
    <row r="854" spans="1:27" ht="14.25">
      <c r="A854" s="6"/>
      <c r="B854" s="6"/>
      <c r="C854" s="6"/>
      <c r="D854" s="6"/>
      <c r="E854" s="6"/>
      <c r="F854" s="6"/>
      <c r="G854" s="6"/>
      <c r="H854" s="6"/>
      <c r="I854" s="6"/>
      <c r="J854" s="6"/>
      <c r="K854" s="6"/>
      <c r="L854" s="6"/>
      <c r="M854" s="6"/>
      <c r="N854" s="6"/>
      <c r="O854" s="6"/>
      <c r="P854" s="6"/>
      <c r="Q854" s="6"/>
      <c r="R854" s="6"/>
      <c r="S854" s="6"/>
      <c r="T854" s="6"/>
      <c r="U854" s="6"/>
      <c r="V854" s="6"/>
      <c r="W854" s="6"/>
      <c r="X854" s="6"/>
      <c r="Y854" s="6"/>
      <c r="Z854" s="6"/>
      <c r="AA854" s="6"/>
    </row>
    <row r="855" spans="1:27" ht="14.25">
      <c r="A855" s="6"/>
      <c r="B855" s="6"/>
      <c r="C855" s="6"/>
      <c r="D855" s="6"/>
      <c r="E855" s="6"/>
      <c r="F855" s="6"/>
      <c r="G855" s="6"/>
      <c r="H855" s="6"/>
      <c r="I855" s="6"/>
      <c r="J855" s="6"/>
      <c r="K855" s="6"/>
      <c r="L855" s="6"/>
      <c r="M855" s="6"/>
      <c r="N855" s="6"/>
      <c r="O855" s="6"/>
      <c r="P855" s="6"/>
      <c r="Q855" s="6"/>
      <c r="R855" s="6"/>
      <c r="S855" s="6"/>
      <c r="T855" s="6"/>
      <c r="U855" s="6"/>
      <c r="V855" s="6"/>
      <c r="W855" s="6"/>
      <c r="X855" s="6"/>
      <c r="Y855" s="6"/>
      <c r="Z855" s="6"/>
      <c r="AA855" s="6"/>
    </row>
    <row r="856" spans="1:27" ht="14.25">
      <c r="A856" s="6"/>
      <c r="B856" s="6"/>
      <c r="C856" s="6"/>
      <c r="D856" s="6"/>
      <c r="E856" s="6"/>
      <c r="F856" s="6"/>
      <c r="G856" s="6"/>
      <c r="H856" s="6"/>
      <c r="I856" s="6"/>
      <c r="J856" s="6"/>
      <c r="K856" s="6"/>
      <c r="L856" s="6"/>
      <c r="M856" s="6"/>
      <c r="N856" s="6"/>
      <c r="O856" s="6"/>
      <c r="P856" s="6"/>
      <c r="Q856" s="6"/>
      <c r="R856" s="6"/>
      <c r="S856" s="6"/>
      <c r="T856" s="6"/>
      <c r="U856" s="6"/>
      <c r="V856" s="6"/>
      <c r="W856" s="6"/>
      <c r="X856" s="6"/>
      <c r="Y856" s="6"/>
      <c r="Z856" s="6"/>
      <c r="AA856" s="6"/>
    </row>
    <row r="857" spans="1:27" ht="14.25">
      <c r="A857" s="6"/>
      <c r="B857" s="6"/>
      <c r="C857" s="6"/>
      <c r="D857" s="6"/>
      <c r="E857" s="6"/>
      <c r="F857" s="6"/>
      <c r="G857" s="6"/>
      <c r="H857" s="6"/>
      <c r="I857" s="6"/>
      <c r="J857" s="6"/>
      <c r="K857" s="6"/>
      <c r="L857" s="6"/>
      <c r="M857" s="6"/>
      <c r="N857" s="6"/>
      <c r="O857" s="6"/>
      <c r="P857" s="6"/>
      <c r="Q857" s="6"/>
      <c r="R857" s="6"/>
      <c r="S857" s="6"/>
      <c r="T857" s="6"/>
      <c r="U857" s="6"/>
      <c r="V857" s="6"/>
      <c r="W857" s="6"/>
      <c r="X857" s="6"/>
      <c r="Y857" s="6"/>
      <c r="Z857" s="6"/>
      <c r="AA857" s="6"/>
    </row>
    <row r="858" spans="1:27" ht="14.25">
      <c r="A858" s="6"/>
      <c r="B858" s="6"/>
      <c r="C858" s="6"/>
      <c r="D858" s="6"/>
      <c r="E858" s="6"/>
      <c r="F858" s="6"/>
      <c r="G858" s="6"/>
      <c r="H858" s="6"/>
      <c r="I858" s="6"/>
      <c r="J858" s="6"/>
      <c r="K858" s="6"/>
      <c r="L858" s="6"/>
      <c r="M858" s="6"/>
      <c r="N858" s="6"/>
      <c r="O858" s="6"/>
      <c r="P858" s="6"/>
      <c r="Q858" s="6"/>
      <c r="R858" s="6"/>
      <c r="S858" s="6"/>
      <c r="T858" s="6"/>
      <c r="U858" s="6"/>
      <c r="V858" s="6"/>
      <c r="W858" s="6"/>
      <c r="X858" s="6"/>
      <c r="Y858" s="6"/>
      <c r="Z858" s="6"/>
      <c r="AA858" s="6"/>
    </row>
    <row r="859" spans="1:27" ht="14.25">
      <c r="A859" s="6"/>
      <c r="B859" s="6"/>
      <c r="C859" s="6"/>
      <c r="D859" s="6"/>
      <c r="E859" s="6"/>
      <c r="F859" s="6"/>
      <c r="G859" s="6"/>
      <c r="H859" s="6"/>
      <c r="I859" s="6"/>
      <c r="J859" s="6"/>
      <c r="K859" s="6"/>
      <c r="L859" s="6"/>
      <c r="M859" s="6"/>
      <c r="N859" s="6"/>
      <c r="O859" s="6"/>
      <c r="P859" s="6"/>
      <c r="Q859" s="6"/>
      <c r="R859" s="6"/>
      <c r="S859" s="6"/>
      <c r="T859" s="6"/>
      <c r="U859" s="6"/>
      <c r="V859" s="6"/>
      <c r="W859" s="6"/>
      <c r="X859" s="6"/>
      <c r="Y859" s="6"/>
      <c r="Z859" s="6"/>
      <c r="AA859" s="6"/>
    </row>
    <row r="860" spans="1:27" ht="14.25">
      <c r="A860" s="6"/>
      <c r="B860" s="6"/>
      <c r="C860" s="6"/>
      <c r="D860" s="6"/>
      <c r="E860" s="6"/>
      <c r="F860" s="6"/>
      <c r="G860" s="6"/>
      <c r="H860" s="6"/>
      <c r="I860" s="6"/>
      <c r="J860" s="6"/>
      <c r="K860" s="6"/>
      <c r="L860" s="6"/>
      <c r="M860" s="6"/>
      <c r="N860" s="6"/>
      <c r="O860" s="6"/>
      <c r="P860" s="6"/>
      <c r="Q860" s="6"/>
      <c r="R860" s="6"/>
      <c r="S860" s="6"/>
      <c r="T860" s="6"/>
      <c r="U860" s="6"/>
      <c r="V860" s="6"/>
      <c r="W860" s="6"/>
      <c r="X860" s="6"/>
      <c r="Y860" s="6"/>
      <c r="Z860" s="6"/>
      <c r="AA860" s="6"/>
    </row>
    <row r="861" spans="1:27" ht="14.25">
      <c r="A861" s="6"/>
      <c r="B861" s="6"/>
      <c r="C861" s="6"/>
      <c r="D861" s="6"/>
      <c r="E861" s="6"/>
      <c r="F861" s="6"/>
      <c r="G861" s="6"/>
      <c r="H861" s="6"/>
      <c r="I861" s="6"/>
      <c r="J861" s="6"/>
      <c r="K861" s="6"/>
      <c r="L861" s="6"/>
      <c r="M861" s="6"/>
      <c r="N861" s="6"/>
      <c r="O861" s="6"/>
      <c r="P861" s="6"/>
      <c r="Q861" s="6"/>
      <c r="R861" s="6"/>
      <c r="S861" s="6"/>
      <c r="T861" s="6"/>
      <c r="U861" s="6"/>
      <c r="V861" s="6"/>
      <c r="W861" s="6"/>
      <c r="X861" s="6"/>
      <c r="Y861" s="6"/>
      <c r="Z861" s="6"/>
      <c r="AA861" s="6"/>
    </row>
    <row r="862" spans="1:27" ht="14.25">
      <c r="A862" s="6"/>
      <c r="B862" s="6"/>
      <c r="C862" s="6"/>
      <c r="D862" s="6"/>
      <c r="E862" s="6"/>
      <c r="F862" s="6"/>
      <c r="G862" s="6"/>
      <c r="H862" s="6"/>
      <c r="I862" s="6"/>
      <c r="J862" s="6"/>
      <c r="K862" s="6"/>
      <c r="L862" s="6"/>
      <c r="M862" s="6"/>
      <c r="N862" s="6"/>
      <c r="O862" s="6"/>
      <c r="P862" s="6"/>
      <c r="Q862" s="6"/>
      <c r="R862" s="6"/>
      <c r="S862" s="6"/>
      <c r="T862" s="6"/>
      <c r="U862" s="6"/>
      <c r="V862" s="6"/>
      <c r="W862" s="6"/>
      <c r="X862" s="6"/>
      <c r="Y862" s="6"/>
      <c r="Z862" s="6"/>
      <c r="AA862" s="6"/>
    </row>
    <row r="863" spans="1:27" ht="14.25">
      <c r="A863" s="6"/>
      <c r="B863" s="6"/>
      <c r="C863" s="6"/>
      <c r="D863" s="6"/>
      <c r="E863" s="6"/>
      <c r="F863" s="6"/>
      <c r="G863" s="6"/>
      <c r="H863" s="6"/>
      <c r="I863" s="6"/>
      <c r="J863" s="6"/>
      <c r="K863" s="6"/>
      <c r="L863" s="6"/>
      <c r="M863" s="6"/>
      <c r="N863" s="6"/>
      <c r="O863" s="6"/>
      <c r="P863" s="6"/>
      <c r="Q863" s="6"/>
      <c r="R863" s="6"/>
      <c r="S863" s="6"/>
      <c r="T863" s="6"/>
      <c r="U863" s="6"/>
      <c r="V863" s="6"/>
      <c r="W863" s="6"/>
      <c r="X863" s="6"/>
      <c r="Y863" s="6"/>
      <c r="Z863" s="6"/>
      <c r="AA863" s="6"/>
    </row>
    <row r="864" spans="1:27" ht="14.25">
      <c r="A864" s="6"/>
      <c r="B864" s="6"/>
      <c r="C864" s="6"/>
      <c r="D864" s="6"/>
      <c r="E864" s="6"/>
      <c r="F864" s="6"/>
      <c r="G864" s="6"/>
      <c r="H864" s="6"/>
      <c r="I864" s="6"/>
      <c r="J864" s="6"/>
      <c r="K864" s="6"/>
      <c r="L864" s="6"/>
      <c r="M864" s="6"/>
      <c r="N864" s="6"/>
      <c r="O864" s="6"/>
      <c r="P864" s="6"/>
      <c r="Q864" s="6"/>
      <c r="R864" s="6"/>
      <c r="S864" s="6"/>
      <c r="T864" s="6"/>
      <c r="U864" s="6"/>
      <c r="V864" s="6"/>
      <c r="W864" s="6"/>
      <c r="X864" s="6"/>
      <c r="Y864" s="6"/>
      <c r="Z864" s="6"/>
      <c r="AA864" s="6"/>
    </row>
    <row r="865" spans="1:27" ht="14.25">
      <c r="A865" s="6"/>
      <c r="B865" s="6"/>
      <c r="C865" s="6"/>
      <c r="D865" s="6"/>
      <c r="E865" s="6"/>
      <c r="F865" s="6"/>
      <c r="G865" s="6"/>
      <c r="H865" s="6"/>
      <c r="I865" s="6"/>
      <c r="J865" s="6"/>
      <c r="K865" s="6"/>
      <c r="L865" s="6"/>
      <c r="M865" s="6"/>
      <c r="N865" s="6"/>
      <c r="O865" s="6"/>
      <c r="P865" s="6"/>
      <c r="Q865" s="6"/>
      <c r="R865" s="6"/>
      <c r="S865" s="6"/>
      <c r="T865" s="6"/>
      <c r="U865" s="6"/>
      <c r="V865" s="6"/>
      <c r="W865" s="6"/>
      <c r="X865" s="6"/>
      <c r="Y865" s="6"/>
      <c r="Z865" s="6"/>
      <c r="AA865" s="6"/>
    </row>
    <row r="866" spans="1:27" ht="14.25">
      <c r="A866" s="6"/>
      <c r="B866" s="6"/>
      <c r="C866" s="6"/>
      <c r="D866" s="6"/>
      <c r="E866" s="6"/>
      <c r="F866" s="6"/>
      <c r="G866" s="6"/>
      <c r="H866" s="6"/>
      <c r="I866" s="6"/>
      <c r="J866" s="6"/>
      <c r="K866" s="6"/>
      <c r="L866" s="6"/>
      <c r="M866" s="6"/>
      <c r="N866" s="6"/>
      <c r="O866" s="6"/>
      <c r="P866" s="6"/>
      <c r="Q866" s="6"/>
      <c r="R866" s="6"/>
      <c r="S866" s="6"/>
      <c r="T866" s="6"/>
      <c r="U866" s="6"/>
      <c r="V866" s="6"/>
      <c r="W866" s="6"/>
      <c r="X866" s="6"/>
      <c r="Y866" s="6"/>
      <c r="Z866" s="6"/>
      <c r="AA866" s="6"/>
    </row>
    <row r="867" spans="1:27" ht="14.25">
      <c r="A867" s="6"/>
      <c r="B867" s="6"/>
      <c r="C867" s="6"/>
      <c r="D867" s="6"/>
      <c r="E867" s="6"/>
      <c r="F867" s="6"/>
      <c r="G867" s="6"/>
      <c r="H867" s="6"/>
      <c r="I867" s="6"/>
      <c r="J867" s="6"/>
      <c r="K867" s="6"/>
      <c r="L867" s="6"/>
      <c r="M867" s="6"/>
      <c r="N867" s="6"/>
      <c r="O867" s="6"/>
      <c r="P867" s="6"/>
      <c r="Q867" s="6"/>
      <c r="R867" s="6"/>
      <c r="S867" s="6"/>
      <c r="T867" s="6"/>
      <c r="U867" s="6"/>
      <c r="V867" s="6"/>
      <c r="W867" s="6"/>
      <c r="X867" s="6"/>
      <c r="Y867" s="6"/>
      <c r="Z867" s="6"/>
      <c r="AA867" s="6"/>
    </row>
    <row r="868" spans="1:27" ht="14.25">
      <c r="A868" s="6"/>
      <c r="B868" s="6"/>
      <c r="C868" s="6"/>
      <c r="D868" s="6"/>
      <c r="E868" s="6"/>
      <c r="F868" s="6"/>
      <c r="G868" s="6"/>
      <c r="H868" s="6"/>
      <c r="I868" s="6"/>
      <c r="J868" s="6"/>
      <c r="K868" s="6"/>
      <c r="L868" s="6"/>
      <c r="M868" s="6"/>
      <c r="N868" s="6"/>
      <c r="O868" s="6"/>
      <c r="P868" s="6"/>
      <c r="Q868" s="6"/>
      <c r="R868" s="6"/>
      <c r="S868" s="6"/>
      <c r="T868" s="6"/>
      <c r="U868" s="6"/>
      <c r="V868" s="6"/>
      <c r="W868" s="6"/>
      <c r="X868" s="6"/>
      <c r="Y868" s="6"/>
      <c r="Z868" s="6"/>
      <c r="AA868" s="6"/>
    </row>
    <row r="869" spans="1:27" ht="14.25">
      <c r="A869" s="6"/>
      <c r="B869" s="6"/>
      <c r="C869" s="6"/>
      <c r="D869" s="6"/>
      <c r="E869" s="6"/>
      <c r="F869" s="6"/>
      <c r="G869" s="6"/>
      <c r="H869" s="6"/>
      <c r="I869" s="6"/>
      <c r="J869" s="6"/>
      <c r="K869" s="6"/>
      <c r="L869" s="6"/>
      <c r="M869" s="6"/>
      <c r="N869" s="6"/>
      <c r="O869" s="6"/>
      <c r="P869" s="6"/>
      <c r="Q869" s="6"/>
      <c r="R869" s="6"/>
      <c r="S869" s="6"/>
      <c r="T869" s="6"/>
      <c r="U869" s="6"/>
      <c r="V869" s="6"/>
      <c r="W869" s="6"/>
      <c r="X869" s="6"/>
      <c r="Y869" s="6"/>
      <c r="Z869" s="6"/>
      <c r="AA869" s="6"/>
    </row>
    <row r="870" spans="1:27" ht="14.25">
      <c r="A870" s="6"/>
      <c r="B870" s="6"/>
      <c r="C870" s="6"/>
      <c r="D870" s="6"/>
      <c r="E870" s="6"/>
      <c r="F870" s="6"/>
      <c r="G870" s="6"/>
      <c r="H870" s="6"/>
      <c r="I870" s="6"/>
      <c r="J870" s="6"/>
      <c r="K870" s="6"/>
      <c r="L870" s="6"/>
      <c r="M870" s="6"/>
      <c r="N870" s="6"/>
      <c r="O870" s="6"/>
      <c r="P870" s="6"/>
      <c r="Q870" s="6"/>
      <c r="R870" s="6"/>
      <c r="S870" s="6"/>
      <c r="T870" s="6"/>
      <c r="U870" s="6"/>
      <c r="V870" s="6"/>
      <c r="W870" s="6"/>
      <c r="X870" s="6"/>
      <c r="Y870" s="6"/>
      <c r="Z870" s="6"/>
      <c r="AA870" s="6"/>
    </row>
    <row r="871" spans="1:27" ht="14.25">
      <c r="A871" s="6"/>
      <c r="B871" s="6"/>
      <c r="C871" s="6"/>
      <c r="D871" s="6"/>
      <c r="E871" s="6"/>
      <c r="F871" s="6"/>
      <c r="G871" s="6"/>
      <c r="H871" s="6"/>
      <c r="I871" s="6"/>
      <c r="J871" s="6"/>
      <c r="K871" s="6"/>
      <c r="L871" s="6"/>
      <c r="M871" s="6"/>
      <c r="N871" s="6"/>
      <c r="O871" s="6"/>
      <c r="P871" s="6"/>
      <c r="Q871" s="6"/>
      <c r="R871" s="6"/>
      <c r="S871" s="6"/>
      <c r="T871" s="6"/>
      <c r="U871" s="6"/>
      <c r="V871" s="6"/>
      <c r="W871" s="6"/>
      <c r="X871" s="6"/>
      <c r="Y871" s="6"/>
      <c r="Z871" s="6"/>
      <c r="AA871" s="6"/>
    </row>
    <row r="872" spans="1:27" ht="14.25">
      <c r="A872" s="6"/>
      <c r="B872" s="6"/>
      <c r="C872" s="6"/>
      <c r="D872" s="6"/>
      <c r="E872" s="6"/>
      <c r="F872" s="6"/>
      <c r="G872" s="6"/>
      <c r="H872" s="6"/>
      <c r="I872" s="6"/>
      <c r="J872" s="6"/>
      <c r="K872" s="6"/>
      <c r="L872" s="6"/>
      <c r="M872" s="6"/>
      <c r="N872" s="6"/>
      <c r="O872" s="6"/>
      <c r="P872" s="6"/>
      <c r="Q872" s="6"/>
      <c r="R872" s="6"/>
      <c r="S872" s="6"/>
      <c r="T872" s="6"/>
      <c r="U872" s="6"/>
      <c r="V872" s="6"/>
      <c r="W872" s="6"/>
      <c r="X872" s="6"/>
      <c r="Y872" s="6"/>
      <c r="Z872" s="6"/>
      <c r="AA872" s="6"/>
    </row>
    <row r="873" spans="1:27" ht="14.25">
      <c r="A873" s="6"/>
      <c r="B873" s="6"/>
      <c r="C873" s="6"/>
      <c r="D873" s="6"/>
      <c r="E873" s="6"/>
      <c r="F873" s="6"/>
      <c r="G873" s="6"/>
      <c r="H873" s="6"/>
      <c r="I873" s="6"/>
      <c r="J873" s="6"/>
      <c r="K873" s="6"/>
      <c r="L873" s="6"/>
      <c r="M873" s="6"/>
      <c r="N873" s="6"/>
      <c r="O873" s="6"/>
      <c r="P873" s="6"/>
      <c r="Q873" s="6"/>
      <c r="R873" s="6"/>
      <c r="S873" s="6"/>
      <c r="T873" s="6"/>
      <c r="U873" s="6"/>
      <c r="V873" s="6"/>
      <c r="W873" s="6"/>
      <c r="X873" s="6"/>
      <c r="Y873" s="6"/>
      <c r="Z873" s="6"/>
      <c r="AA873" s="6"/>
    </row>
    <row r="874" spans="1:27" ht="14.25">
      <c r="A874" s="6"/>
      <c r="B874" s="6"/>
      <c r="C874" s="6"/>
      <c r="D874" s="6"/>
      <c r="E874" s="6"/>
      <c r="F874" s="6"/>
      <c r="G874" s="6"/>
      <c r="H874" s="6"/>
      <c r="I874" s="6"/>
      <c r="J874" s="6"/>
      <c r="K874" s="6"/>
      <c r="L874" s="6"/>
      <c r="M874" s="6"/>
      <c r="N874" s="6"/>
      <c r="O874" s="6"/>
      <c r="P874" s="6"/>
      <c r="Q874" s="6"/>
      <c r="R874" s="6"/>
      <c r="S874" s="6"/>
      <c r="T874" s="6"/>
      <c r="U874" s="6"/>
      <c r="V874" s="6"/>
      <c r="W874" s="6"/>
      <c r="X874" s="6"/>
      <c r="Y874" s="6"/>
      <c r="Z874" s="6"/>
      <c r="AA874" s="6"/>
    </row>
    <row r="875" spans="1:27" ht="14.25">
      <c r="A875" s="6"/>
      <c r="B875" s="6"/>
      <c r="C875" s="6"/>
      <c r="D875" s="6"/>
      <c r="E875" s="6"/>
      <c r="F875" s="6"/>
      <c r="G875" s="6"/>
      <c r="H875" s="6"/>
      <c r="I875" s="6"/>
      <c r="J875" s="6"/>
      <c r="K875" s="6"/>
      <c r="L875" s="6"/>
      <c r="M875" s="6"/>
      <c r="N875" s="6"/>
      <c r="O875" s="6"/>
      <c r="P875" s="6"/>
      <c r="Q875" s="6"/>
      <c r="R875" s="6"/>
      <c r="S875" s="6"/>
      <c r="T875" s="6"/>
      <c r="U875" s="6"/>
      <c r="V875" s="6"/>
      <c r="W875" s="6"/>
      <c r="X875" s="6"/>
      <c r="Y875" s="6"/>
      <c r="Z875" s="6"/>
      <c r="AA875" s="6"/>
    </row>
    <row r="876" spans="1:27" ht="14.25">
      <c r="A876" s="6"/>
      <c r="B876" s="6"/>
      <c r="C876" s="6"/>
      <c r="D876" s="6"/>
      <c r="E876" s="6"/>
      <c r="F876" s="6"/>
      <c r="G876" s="6"/>
      <c r="H876" s="6"/>
      <c r="I876" s="6"/>
      <c r="J876" s="6"/>
      <c r="K876" s="6"/>
      <c r="L876" s="6"/>
      <c r="M876" s="6"/>
      <c r="N876" s="6"/>
      <c r="O876" s="6"/>
      <c r="P876" s="6"/>
      <c r="Q876" s="6"/>
      <c r="R876" s="6"/>
      <c r="S876" s="6"/>
      <c r="T876" s="6"/>
      <c r="U876" s="6"/>
      <c r="V876" s="6"/>
      <c r="W876" s="6"/>
      <c r="X876" s="6"/>
      <c r="Y876" s="6"/>
      <c r="Z876" s="6"/>
      <c r="AA876" s="6"/>
    </row>
    <row r="877" spans="1:27" ht="14.25">
      <c r="A877" s="6"/>
      <c r="B877" s="6"/>
      <c r="C877" s="6"/>
      <c r="D877" s="6"/>
      <c r="E877" s="6"/>
      <c r="F877" s="6"/>
      <c r="G877" s="6"/>
      <c r="H877" s="6"/>
      <c r="I877" s="6"/>
      <c r="J877" s="6"/>
      <c r="K877" s="6"/>
      <c r="L877" s="6"/>
      <c r="M877" s="6"/>
      <c r="N877" s="6"/>
      <c r="O877" s="6"/>
      <c r="P877" s="6"/>
      <c r="Q877" s="6"/>
      <c r="R877" s="6"/>
      <c r="S877" s="6"/>
      <c r="T877" s="6"/>
      <c r="U877" s="6"/>
      <c r="V877" s="6"/>
      <c r="W877" s="6"/>
      <c r="X877" s="6"/>
      <c r="Y877" s="6"/>
      <c r="Z877" s="6"/>
      <c r="AA877" s="6"/>
    </row>
    <row r="878" spans="1:27" ht="14.25">
      <c r="A878" s="6"/>
      <c r="B878" s="6"/>
      <c r="C878" s="6"/>
      <c r="D878" s="6"/>
      <c r="E878" s="6"/>
      <c r="F878" s="6"/>
      <c r="G878" s="6"/>
      <c r="H878" s="6"/>
      <c r="I878" s="6"/>
      <c r="J878" s="6"/>
      <c r="K878" s="6"/>
      <c r="L878" s="6"/>
      <c r="M878" s="6"/>
      <c r="N878" s="6"/>
      <c r="O878" s="6"/>
      <c r="P878" s="6"/>
      <c r="Q878" s="6"/>
      <c r="R878" s="6"/>
      <c r="S878" s="6"/>
      <c r="T878" s="6"/>
      <c r="U878" s="6"/>
      <c r="V878" s="6"/>
      <c r="W878" s="6"/>
      <c r="X878" s="6"/>
      <c r="Y878" s="6"/>
      <c r="Z878" s="6"/>
      <c r="AA878" s="6"/>
    </row>
    <row r="879" spans="1:27" ht="14.25">
      <c r="A879" s="6"/>
      <c r="B879" s="6"/>
      <c r="C879" s="6"/>
      <c r="D879" s="6"/>
      <c r="E879" s="6"/>
      <c r="F879" s="6"/>
      <c r="G879" s="6"/>
      <c r="H879" s="6"/>
      <c r="I879" s="6"/>
      <c r="J879" s="6"/>
      <c r="K879" s="6"/>
      <c r="L879" s="6"/>
      <c r="M879" s="6"/>
      <c r="N879" s="6"/>
      <c r="O879" s="6"/>
      <c r="P879" s="6"/>
      <c r="Q879" s="6"/>
      <c r="R879" s="6"/>
      <c r="S879" s="6"/>
      <c r="T879" s="6"/>
      <c r="U879" s="6"/>
      <c r="V879" s="6"/>
      <c r="W879" s="6"/>
      <c r="X879" s="6"/>
      <c r="Y879" s="6"/>
      <c r="Z879" s="6"/>
      <c r="AA879" s="6"/>
    </row>
    <row r="880" spans="1:27" ht="14.25">
      <c r="A880" s="6"/>
      <c r="B880" s="6"/>
      <c r="C880" s="6"/>
      <c r="D880" s="6"/>
      <c r="E880" s="6"/>
      <c r="F880" s="6"/>
      <c r="G880" s="6"/>
      <c r="H880" s="6"/>
      <c r="I880" s="6"/>
      <c r="J880" s="6"/>
      <c r="K880" s="6"/>
      <c r="L880" s="6"/>
      <c r="M880" s="6"/>
      <c r="N880" s="6"/>
      <c r="O880" s="6"/>
      <c r="P880" s="6"/>
      <c r="Q880" s="6"/>
      <c r="R880" s="6"/>
      <c r="S880" s="6"/>
      <c r="T880" s="6"/>
      <c r="U880" s="6"/>
      <c r="V880" s="6"/>
      <c r="W880" s="6"/>
      <c r="X880" s="6"/>
      <c r="Y880" s="6"/>
      <c r="Z880" s="6"/>
      <c r="AA880" s="6"/>
    </row>
    <row r="881" spans="1:27" ht="14.25">
      <c r="A881" s="6"/>
      <c r="B881" s="6"/>
      <c r="C881" s="6"/>
      <c r="D881" s="6"/>
      <c r="E881" s="6"/>
      <c r="F881" s="6"/>
      <c r="G881" s="6"/>
      <c r="H881" s="6"/>
      <c r="I881" s="6"/>
      <c r="J881" s="6"/>
      <c r="K881" s="6"/>
      <c r="L881" s="6"/>
      <c r="M881" s="6"/>
      <c r="N881" s="6"/>
      <c r="O881" s="6"/>
      <c r="P881" s="6"/>
      <c r="Q881" s="6"/>
      <c r="R881" s="6"/>
      <c r="S881" s="6"/>
      <c r="T881" s="6"/>
      <c r="U881" s="6"/>
      <c r="V881" s="6"/>
      <c r="W881" s="6"/>
      <c r="X881" s="6"/>
      <c r="Y881" s="6"/>
      <c r="Z881" s="6"/>
      <c r="AA881" s="6"/>
    </row>
    <row r="882" spans="1:27" ht="14.25">
      <c r="A882" s="6"/>
      <c r="B882" s="6"/>
      <c r="C882" s="6"/>
      <c r="D882" s="6"/>
      <c r="E882" s="6"/>
      <c r="F882" s="6"/>
      <c r="G882" s="6"/>
      <c r="H882" s="6"/>
      <c r="I882" s="6"/>
      <c r="J882" s="6"/>
      <c r="K882" s="6"/>
      <c r="L882" s="6"/>
      <c r="M882" s="6"/>
      <c r="N882" s="6"/>
      <c r="O882" s="6"/>
      <c r="P882" s="6"/>
      <c r="Q882" s="6"/>
      <c r="R882" s="6"/>
      <c r="S882" s="6"/>
      <c r="T882" s="6"/>
      <c r="U882" s="6"/>
      <c r="V882" s="6"/>
      <c r="W882" s="6"/>
      <c r="X882" s="6"/>
      <c r="Y882" s="6"/>
      <c r="Z882" s="6"/>
      <c r="AA882" s="6"/>
    </row>
    <row r="883" spans="1:27" ht="14.25">
      <c r="A883" s="6"/>
      <c r="B883" s="6"/>
      <c r="C883" s="6"/>
      <c r="D883" s="6"/>
      <c r="E883" s="6"/>
      <c r="F883" s="6"/>
      <c r="G883" s="6"/>
      <c r="H883" s="6"/>
      <c r="I883" s="6"/>
      <c r="J883" s="6"/>
      <c r="K883" s="6"/>
      <c r="L883" s="6"/>
      <c r="M883" s="6"/>
      <c r="N883" s="6"/>
      <c r="O883" s="6"/>
      <c r="P883" s="6"/>
      <c r="Q883" s="6"/>
      <c r="R883" s="6"/>
      <c r="S883" s="6"/>
      <c r="T883" s="6"/>
      <c r="U883" s="6"/>
      <c r="V883" s="6"/>
      <c r="W883" s="6"/>
      <c r="X883" s="6"/>
      <c r="Y883" s="6"/>
      <c r="Z883" s="6"/>
      <c r="AA883" s="6"/>
    </row>
    <row r="884" spans="1:27" ht="14.25">
      <c r="A884" s="6"/>
      <c r="B884" s="6"/>
      <c r="C884" s="6"/>
      <c r="D884" s="6"/>
      <c r="E884" s="6"/>
      <c r="F884" s="6"/>
      <c r="G884" s="6"/>
      <c r="H884" s="6"/>
      <c r="I884" s="6"/>
      <c r="J884" s="6"/>
      <c r="K884" s="6"/>
      <c r="L884" s="6"/>
      <c r="M884" s="6"/>
      <c r="N884" s="6"/>
      <c r="O884" s="6"/>
      <c r="P884" s="6"/>
      <c r="Q884" s="6"/>
      <c r="R884" s="6"/>
      <c r="S884" s="6"/>
      <c r="T884" s="6"/>
      <c r="U884" s="6"/>
      <c r="V884" s="6"/>
      <c r="W884" s="6"/>
      <c r="X884" s="6"/>
      <c r="Y884" s="6"/>
      <c r="Z884" s="6"/>
      <c r="AA884" s="6"/>
    </row>
    <row r="885" spans="1:27" ht="14.25">
      <c r="A885" s="6"/>
      <c r="B885" s="6"/>
      <c r="C885" s="6"/>
      <c r="D885" s="6"/>
      <c r="E885" s="6"/>
      <c r="F885" s="6"/>
      <c r="G885" s="6"/>
      <c r="H885" s="6"/>
      <c r="I885" s="6"/>
      <c r="J885" s="6"/>
      <c r="K885" s="6"/>
      <c r="L885" s="6"/>
      <c r="M885" s="6"/>
      <c r="N885" s="6"/>
      <c r="O885" s="6"/>
      <c r="P885" s="6"/>
      <c r="Q885" s="6"/>
      <c r="R885" s="6"/>
      <c r="S885" s="6"/>
      <c r="T885" s="6"/>
      <c r="U885" s="6"/>
      <c r="V885" s="6"/>
      <c r="W885" s="6"/>
      <c r="X885" s="6"/>
      <c r="Y885" s="6"/>
      <c r="Z885" s="6"/>
      <c r="AA885" s="6"/>
    </row>
    <row r="886" spans="1:27" ht="14.25">
      <c r="A886" s="6"/>
      <c r="B886" s="6"/>
      <c r="C886" s="6"/>
      <c r="D886" s="6"/>
      <c r="E886" s="6"/>
      <c r="F886" s="6"/>
      <c r="G886" s="6"/>
      <c r="H886" s="6"/>
      <c r="I886" s="6"/>
      <c r="J886" s="6"/>
      <c r="K886" s="6"/>
      <c r="L886" s="6"/>
      <c r="M886" s="6"/>
      <c r="N886" s="6"/>
      <c r="O886" s="6"/>
      <c r="P886" s="6"/>
      <c r="Q886" s="6"/>
      <c r="R886" s="6"/>
      <c r="S886" s="6"/>
      <c r="T886" s="6"/>
      <c r="U886" s="6"/>
      <c r="V886" s="6"/>
      <c r="W886" s="6"/>
      <c r="X886" s="6"/>
      <c r="Y886" s="6"/>
      <c r="Z886" s="6"/>
      <c r="AA886" s="6"/>
    </row>
    <row r="887" spans="1:27" ht="14.25">
      <c r="A887" s="6"/>
      <c r="B887" s="6"/>
      <c r="C887" s="6"/>
      <c r="D887" s="6"/>
      <c r="E887" s="6"/>
      <c r="F887" s="6"/>
      <c r="G887" s="6"/>
      <c r="H887" s="6"/>
      <c r="I887" s="6"/>
      <c r="J887" s="6"/>
      <c r="K887" s="6"/>
      <c r="L887" s="6"/>
      <c r="M887" s="6"/>
      <c r="N887" s="6"/>
      <c r="O887" s="6"/>
      <c r="P887" s="6"/>
      <c r="Q887" s="6"/>
      <c r="R887" s="6"/>
      <c r="S887" s="6"/>
      <c r="T887" s="6"/>
      <c r="U887" s="6"/>
      <c r="V887" s="6"/>
      <c r="W887" s="6"/>
      <c r="X887" s="6"/>
      <c r="Y887" s="6"/>
      <c r="Z887" s="6"/>
      <c r="AA887" s="6"/>
    </row>
    <row r="888" spans="1:27" ht="14.25">
      <c r="A888" s="6"/>
      <c r="B888" s="6"/>
      <c r="C888" s="6"/>
      <c r="D888" s="6"/>
      <c r="E888" s="6"/>
      <c r="F888" s="6"/>
      <c r="G888" s="6"/>
      <c r="H888" s="6"/>
      <c r="I888" s="6"/>
      <c r="J888" s="6"/>
      <c r="K888" s="6"/>
      <c r="L888" s="6"/>
      <c r="M888" s="6"/>
      <c r="N888" s="6"/>
      <c r="O888" s="6"/>
      <c r="P888" s="6"/>
      <c r="Q888" s="6"/>
      <c r="R888" s="6"/>
      <c r="S888" s="6"/>
      <c r="T888" s="6"/>
      <c r="U888" s="6"/>
      <c r="V888" s="6"/>
      <c r="W888" s="6"/>
      <c r="X888" s="6"/>
      <c r="Y888" s="6"/>
      <c r="Z888" s="6"/>
      <c r="AA888" s="6"/>
    </row>
    <row r="889" spans="1:27" ht="14.25">
      <c r="A889" s="6"/>
      <c r="B889" s="6"/>
      <c r="C889" s="6"/>
      <c r="D889" s="6"/>
      <c r="E889" s="6"/>
      <c r="F889" s="6"/>
      <c r="G889" s="6"/>
      <c r="H889" s="6"/>
      <c r="I889" s="6"/>
      <c r="J889" s="6"/>
      <c r="K889" s="6"/>
      <c r="L889" s="6"/>
      <c r="M889" s="6"/>
      <c r="N889" s="6"/>
      <c r="O889" s="6"/>
      <c r="P889" s="6"/>
      <c r="Q889" s="6"/>
      <c r="R889" s="6"/>
      <c r="S889" s="6"/>
      <c r="T889" s="6"/>
      <c r="U889" s="6"/>
      <c r="V889" s="6"/>
      <c r="W889" s="6"/>
      <c r="X889" s="6"/>
      <c r="Y889" s="6"/>
      <c r="Z889" s="6"/>
      <c r="AA889" s="6"/>
    </row>
    <row r="890" spans="1:27" ht="14.25">
      <c r="A890" s="6"/>
      <c r="B890" s="6"/>
      <c r="C890" s="6"/>
      <c r="D890" s="6"/>
      <c r="E890" s="6"/>
      <c r="F890" s="6"/>
      <c r="G890" s="6"/>
      <c r="H890" s="6"/>
      <c r="I890" s="6"/>
      <c r="J890" s="6"/>
      <c r="K890" s="6"/>
      <c r="L890" s="6"/>
      <c r="M890" s="6"/>
      <c r="N890" s="6"/>
      <c r="O890" s="6"/>
      <c r="P890" s="6"/>
      <c r="Q890" s="6"/>
      <c r="R890" s="6"/>
      <c r="S890" s="6"/>
      <c r="T890" s="6"/>
      <c r="U890" s="6"/>
      <c r="V890" s="6"/>
      <c r="W890" s="6"/>
      <c r="X890" s="6"/>
      <c r="Y890" s="6"/>
      <c r="Z890" s="6"/>
      <c r="AA890" s="6"/>
    </row>
    <row r="891" spans="1:27" ht="14.25">
      <c r="A891" s="6"/>
      <c r="B891" s="6"/>
      <c r="C891" s="6"/>
      <c r="D891" s="6"/>
      <c r="E891" s="6"/>
      <c r="F891" s="6"/>
      <c r="G891" s="6"/>
      <c r="H891" s="6"/>
      <c r="I891" s="6"/>
      <c r="J891" s="6"/>
      <c r="K891" s="6"/>
      <c r="L891" s="6"/>
      <c r="M891" s="6"/>
      <c r="N891" s="6"/>
      <c r="O891" s="6"/>
      <c r="P891" s="6"/>
      <c r="Q891" s="6"/>
      <c r="R891" s="6"/>
      <c r="S891" s="6"/>
      <c r="T891" s="6"/>
      <c r="U891" s="6"/>
      <c r="V891" s="6"/>
      <c r="W891" s="6"/>
      <c r="X891" s="6"/>
      <c r="Y891" s="6"/>
      <c r="Z891" s="6"/>
      <c r="AA891" s="6"/>
    </row>
    <row r="892" spans="1:27" ht="14.25">
      <c r="A892" s="6"/>
      <c r="B892" s="6"/>
      <c r="C892" s="6"/>
      <c r="D892" s="6"/>
      <c r="E892" s="6"/>
      <c r="F892" s="6"/>
      <c r="G892" s="6"/>
      <c r="H892" s="6"/>
      <c r="I892" s="6"/>
      <c r="J892" s="6"/>
      <c r="K892" s="6"/>
      <c r="L892" s="6"/>
      <c r="M892" s="6"/>
      <c r="N892" s="6"/>
      <c r="O892" s="6"/>
      <c r="P892" s="6"/>
      <c r="Q892" s="6"/>
      <c r="R892" s="6"/>
      <c r="S892" s="6"/>
      <c r="T892" s="6"/>
      <c r="U892" s="6"/>
      <c r="V892" s="6"/>
      <c r="W892" s="6"/>
      <c r="X892" s="6"/>
      <c r="Y892" s="6"/>
      <c r="Z892" s="6"/>
      <c r="AA892" s="6"/>
    </row>
    <row r="893" spans="1:27" ht="14.25">
      <c r="A893" s="6"/>
      <c r="B893" s="6"/>
      <c r="C893" s="6"/>
      <c r="D893" s="6"/>
      <c r="E893" s="6"/>
      <c r="F893" s="6"/>
      <c r="G893" s="6"/>
      <c r="H893" s="6"/>
      <c r="I893" s="6"/>
      <c r="J893" s="6"/>
      <c r="K893" s="6"/>
      <c r="L893" s="6"/>
      <c r="M893" s="6"/>
      <c r="N893" s="6"/>
      <c r="O893" s="6"/>
      <c r="P893" s="6"/>
      <c r="Q893" s="6"/>
      <c r="R893" s="6"/>
      <c r="S893" s="6"/>
      <c r="T893" s="6"/>
      <c r="U893" s="6"/>
      <c r="V893" s="6"/>
      <c r="W893" s="6"/>
      <c r="X893" s="6"/>
      <c r="Y893" s="6"/>
      <c r="Z893" s="6"/>
      <c r="AA893" s="6"/>
    </row>
    <row r="894" spans="1:27" ht="14.25">
      <c r="A894" s="6"/>
      <c r="B894" s="6"/>
      <c r="C894" s="6"/>
      <c r="D894" s="6"/>
      <c r="E894" s="6"/>
      <c r="F894" s="6"/>
      <c r="G894" s="6"/>
      <c r="H894" s="6"/>
      <c r="I894" s="6"/>
      <c r="J894" s="6"/>
      <c r="K894" s="6"/>
      <c r="L894" s="6"/>
      <c r="M894" s="6"/>
      <c r="N894" s="6"/>
      <c r="O894" s="6"/>
      <c r="P894" s="6"/>
      <c r="Q894" s="6"/>
      <c r="R894" s="6"/>
      <c r="S894" s="6"/>
      <c r="T894" s="6"/>
      <c r="U894" s="6"/>
      <c r="V894" s="6"/>
      <c r="W894" s="6"/>
      <c r="X894" s="6"/>
      <c r="Y894" s="6"/>
      <c r="Z894" s="6"/>
      <c r="AA894" s="6"/>
    </row>
    <row r="895" spans="1:27" ht="14.25">
      <c r="A895" s="6"/>
      <c r="B895" s="6"/>
      <c r="C895" s="6"/>
      <c r="D895" s="6"/>
      <c r="E895" s="6"/>
      <c r="F895" s="6"/>
      <c r="G895" s="6"/>
      <c r="H895" s="6"/>
      <c r="I895" s="6"/>
      <c r="J895" s="6"/>
      <c r="K895" s="6"/>
      <c r="L895" s="6"/>
      <c r="M895" s="6"/>
      <c r="N895" s="6"/>
      <c r="O895" s="6"/>
      <c r="P895" s="6"/>
      <c r="Q895" s="6"/>
      <c r="R895" s="6"/>
      <c r="S895" s="6"/>
      <c r="T895" s="6"/>
      <c r="U895" s="6"/>
      <c r="V895" s="6"/>
      <c r="W895" s="6"/>
      <c r="X895" s="6"/>
      <c r="Y895" s="6"/>
      <c r="Z895" s="6"/>
      <c r="AA895" s="6"/>
    </row>
    <row r="896" spans="1:27" ht="14.25">
      <c r="A896" s="6"/>
      <c r="B896" s="6"/>
      <c r="C896" s="6"/>
      <c r="D896" s="6"/>
      <c r="E896" s="6"/>
      <c r="F896" s="6"/>
      <c r="G896" s="6"/>
      <c r="H896" s="6"/>
      <c r="I896" s="6"/>
      <c r="J896" s="6"/>
      <c r="K896" s="6"/>
      <c r="L896" s="6"/>
      <c r="M896" s="6"/>
      <c r="N896" s="6"/>
      <c r="O896" s="6"/>
      <c r="P896" s="6"/>
      <c r="Q896" s="6"/>
      <c r="R896" s="6"/>
      <c r="S896" s="6"/>
      <c r="T896" s="6"/>
      <c r="U896" s="6"/>
      <c r="V896" s="6"/>
      <c r="W896" s="6"/>
      <c r="X896" s="6"/>
      <c r="Y896" s="6"/>
      <c r="Z896" s="6"/>
      <c r="AA896" s="6"/>
    </row>
    <row r="897" spans="1:27" ht="14.25">
      <c r="A897" s="6"/>
      <c r="B897" s="6"/>
      <c r="C897" s="6"/>
      <c r="D897" s="6"/>
      <c r="E897" s="6"/>
      <c r="F897" s="6"/>
      <c r="G897" s="6"/>
      <c r="H897" s="6"/>
      <c r="I897" s="6"/>
      <c r="J897" s="6"/>
      <c r="K897" s="6"/>
      <c r="L897" s="6"/>
      <c r="M897" s="6"/>
      <c r="N897" s="6"/>
      <c r="O897" s="6"/>
      <c r="P897" s="6"/>
      <c r="Q897" s="6"/>
      <c r="R897" s="6"/>
      <c r="S897" s="6"/>
      <c r="T897" s="6"/>
      <c r="U897" s="6"/>
      <c r="V897" s="6"/>
      <c r="W897" s="6"/>
      <c r="X897" s="6"/>
      <c r="Y897" s="6"/>
      <c r="Z897" s="6"/>
      <c r="AA897" s="6"/>
    </row>
    <row r="898" spans="1:27" ht="14.25">
      <c r="A898" s="6"/>
      <c r="B898" s="6"/>
      <c r="C898" s="6"/>
      <c r="D898" s="6"/>
      <c r="E898" s="6"/>
      <c r="F898" s="6"/>
      <c r="G898" s="6"/>
      <c r="H898" s="6"/>
      <c r="I898" s="6"/>
      <c r="J898" s="6"/>
      <c r="K898" s="6"/>
      <c r="L898" s="6"/>
      <c r="M898" s="6"/>
      <c r="N898" s="6"/>
      <c r="O898" s="6"/>
      <c r="P898" s="6"/>
      <c r="Q898" s="6"/>
      <c r="R898" s="6"/>
      <c r="S898" s="6"/>
      <c r="T898" s="6"/>
      <c r="U898" s="6"/>
      <c r="V898" s="6"/>
      <c r="W898" s="6"/>
      <c r="X898" s="6"/>
      <c r="Y898" s="6"/>
      <c r="Z898" s="6"/>
      <c r="AA898" s="6"/>
    </row>
    <row r="899" spans="1:27" ht="14.25">
      <c r="A899" s="6"/>
      <c r="B899" s="6"/>
      <c r="C899" s="6"/>
      <c r="D899" s="6"/>
      <c r="E899" s="6"/>
      <c r="F899" s="6"/>
      <c r="G899" s="6"/>
      <c r="H899" s="6"/>
      <c r="I899" s="6"/>
      <c r="J899" s="6"/>
      <c r="K899" s="6"/>
      <c r="L899" s="6"/>
      <c r="M899" s="6"/>
      <c r="N899" s="6"/>
      <c r="O899" s="6"/>
      <c r="P899" s="6"/>
      <c r="Q899" s="6"/>
      <c r="R899" s="6"/>
      <c r="S899" s="6"/>
      <c r="T899" s="6"/>
      <c r="U899" s="6"/>
      <c r="V899" s="6"/>
      <c r="W899" s="6"/>
      <c r="X899" s="6"/>
      <c r="Y899" s="6"/>
      <c r="Z899" s="6"/>
      <c r="AA899" s="6"/>
    </row>
    <row r="900" spans="1:27" ht="14.25">
      <c r="A900" s="6"/>
      <c r="B900" s="6"/>
      <c r="C900" s="6"/>
      <c r="D900" s="6"/>
      <c r="E900" s="6"/>
      <c r="F900" s="6"/>
      <c r="G900" s="6"/>
      <c r="H900" s="6"/>
      <c r="I900" s="6"/>
      <c r="J900" s="6"/>
      <c r="K900" s="6"/>
      <c r="L900" s="6"/>
      <c r="M900" s="6"/>
      <c r="N900" s="6"/>
      <c r="O900" s="6"/>
      <c r="P900" s="6"/>
      <c r="Q900" s="6"/>
      <c r="R900" s="6"/>
      <c r="S900" s="6"/>
      <c r="T900" s="6"/>
      <c r="U900" s="6"/>
      <c r="V900" s="6"/>
      <c r="W900" s="6"/>
      <c r="X900" s="6"/>
      <c r="Y900" s="6"/>
      <c r="Z900" s="6"/>
      <c r="AA900" s="6"/>
    </row>
    <row r="901" spans="1:27" ht="14.25">
      <c r="A901" s="6"/>
      <c r="B901" s="6"/>
      <c r="C901" s="6"/>
      <c r="D901" s="6"/>
      <c r="E901" s="6"/>
      <c r="F901" s="6"/>
      <c r="G901" s="6"/>
      <c r="H901" s="6"/>
      <c r="I901" s="6"/>
      <c r="J901" s="6"/>
      <c r="K901" s="6"/>
      <c r="L901" s="6"/>
      <c r="M901" s="6"/>
      <c r="N901" s="6"/>
      <c r="O901" s="6"/>
      <c r="P901" s="6"/>
      <c r="Q901" s="6"/>
      <c r="R901" s="6"/>
      <c r="S901" s="6"/>
      <c r="T901" s="6"/>
      <c r="U901" s="6"/>
      <c r="V901" s="6"/>
      <c r="W901" s="6"/>
      <c r="X901" s="6"/>
      <c r="Y901" s="6"/>
      <c r="Z901" s="6"/>
      <c r="AA901" s="6"/>
    </row>
    <row r="902" spans="1:27" ht="14.25">
      <c r="A902" s="6"/>
      <c r="B902" s="6"/>
      <c r="C902" s="6"/>
      <c r="D902" s="6"/>
      <c r="E902" s="6"/>
      <c r="F902" s="6"/>
      <c r="G902" s="6"/>
      <c r="H902" s="6"/>
      <c r="I902" s="6"/>
      <c r="J902" s="6"/>
      <c r="K902" s="6"/>
      <c r="L902" s="6"/>
      <c r="M902" s="6"/>
      <c r="N902" s="6"/>
      <c r="O902" s="6"/>
      <c r="P902" s="6"/>
      <c r="Q902" s="6"/>
      <c r="R902" s="6"/>
      <c r="S902" s="6"/>
      <c r="T902" s="6"/>
      <c r="U902" s="6"/>
      <c r="V902" s="6"/>
      <c r="W902" s="6"/>
      <c r="X902" s="6"/>
      <c r="Y902" s="6"/>
      <c r="Z902" s="6"/>
      <c r="AA902" s="6"/>
    </row>
    <row r="903" spans="1:27" ht="14.25">
      <c r="A903" s="6"/>
      <c r="B903" s="6"/>
      <c r="C903" s="6"/>
      <c r="D903" s="6"/>
      <c r="E903" s="6"/>
      <c r="F903" s="6"/>
      <c r="G903" s="6"/>
      <c r="H903" s="6"/>
      <c r="I903" s="6"/>
      <c r="J903" s="6"/>
      <c r="K903" s="6"/>
      <c r="L903" s="6"/>
      <c r="M903" s="6"/>
      <c r="N903" s="6"/>
      <c r="O903" s="6"/>
      <c r="P903" s="6"/>
      <c r="Q903" s="6"/>
      <c r="R903" s="6"/>
      <c r="S903" s="6"/>
      <c r="T903" s="6"/>
      <c r="U903" s="6"/>
      <c r="V903" s="6"/>
      <c r="W903" s="6"/>
      <c r="X903" s="6"/>
      <c r="Y903" s="6"/>
      <c r="Z903" s="6"/>
      <c r="AA903" s="6"/>
    </row>
    <row r="904" spans="1:27" ht="14.25">
      <c r="A904" s="6"/>
      <c r="B904" s="6"/>
      <c r="C904" s="6"/>
      <c r="D904" s="6"/>
      <c r="E904" s="6"/>
      <c r="F904" s="6"/>
      <c r="G904" s="6"/>
      <c r="H904" s="6"/>
      <c r="I904" s="6"/>
      <c r="J904" s="6"/>
      <c r="K904" s="6"/>
      <c r="L904" s="6"/>
      <c r="M904" s="6"/>
      <c r="N904" s="6"/>
      <c r="O904" s="6"/>
      <c r="P904" s="6"/>
      <c r="Q904" s="6"/>
      <c r="R904" s="6"/>
      <c r="S904" s="6"/>
      <c r="T904" s="6"/>
      <c r="U904" s="6"/>
      <c r="V904" s="6"/>
      <c r="W904" s="6"/>
      <c r="X904" s="6"/>
      <c r="Y904" s="6"/>
      <c r="Z904" s="6"/>
      <c r="AA904" s="6"/>
    </row>
    <row r="905" spans="1:27" ht="14.25">
      <c r="A905" s="6"/>
      <c r="B905" s="6"/>
      <c r="C905" s="6"/>
      <c r="D905" s="6"/>
      <c r="E905" s="6"/>
      <c r="F905" s="6"/>
      <c r="G905" s="6"/>
      <c r="H905" s="6"/>
      <c r="I905" s="6"/>
      <c r="J905" s="6"/>
      <c r="K905" s="6"/>
      <c r="L905" s="6"/>
      <c r="M905" s="6"/>
      <c r="N905" s="6"/>
      <c r="O905" s="6"/>
      <c r="P905" s="6"/>
      <c r="Q905" s="6"/>
      <c r="R905" s="6"/>
      <c r="S905" s="6"/>
      <c r="T905" s="6"/>
      <c r="U905" s="6"/>
      <c r="V905" s="6"/>
      <c r="W905" s="6"/>
      <c r="X905" s="6"/>
      <c r="Y905" s="6"/>
      <c r="Z905" s="6"/>
      <c r="AA905" s="6"/>
    </row>
    <row r="906" spans="1:27" ht="14.25">
      <c r="A906" s="6"/>
      <c r="B906" s="6"/>
      <c r="C906" s="6"/>
      <c r="D906" s="6"/>
      <c r="E906" s="6"/>
      <c r="F906" s="6"/>
      <c r="G906" s="6"/>
      <c r="H906" s="6"/>
      <c r="I906" s="6"/>
      <c r="J906" s="6"/>
      <c r="K906" s="6"/>
      <c r="L906" s="6"/>
      <c r="M906" s="6"/>
      <c r="N906" s="6"/>
      <c r="O906" s="6"/>
      <c r="P906" s="6"/>
      <c r="Q906" s="6"/>
      <c r="R906" s="6"/>
      <c r="S906" s="6"/>
      <c r="T906" s="6"/>
      <c r="U906" s="6"/>
      <c r="V906" s="6"/>
      <c r="W906" s="6"/>
      <c r="X906" s="6"/>
      <c r="Y906" s="6"/>
      <c r="Z906" s="6"/>
      <c r="AA906" s="6"/>
    </row>
    <row r="907" spans="1:27" ht="14.25">
      <c r="A907" s="6"/>
      <c r="B907" s="6"/>
      <c r="C907" s="6"/>
      <c r="D907" s="6"/>
      <c r="E907" s="6"/>
      <c r="F907" s="6"/>
      <c r="G907" s="6"/>
      <c r="H907" s="6"/>
      <c r="I907" s="6"/>
      <c r="J907" s="6"/>
      <c r="K907" s="6"/>
      <c r="L907" s="6"/>
      <c r="M907" s="6"/>
      <c r="N907" s="6"/>
      <c r="O907" s="6"/>
      <c r="P907" s="6"/>
      <c r="Q907" s="6"/>
      <c r="R907" s="6"/>
      <c r="S907" s="6"/>
      <c r="T907" s="6"/>
      <c r="U907" s="6"/>
      <c r="V907" s="6"/>
      <c r="W907" s="6"/>
      <c r="X907" s="6"/>
      <c r="Y907" s="6"/>
      <c r="Z907" s="6"/>
      <c r="AA907" s="6"/>
    </row>
    <row r="908" spans="1:27" ht="14.25">
      <c r="A908" s="6"/>
      <c r="B908" s="6"/>
      <c r="C908" s="6"/>
      <c r="D908" s="6"/>
      <c r="E908" s="6"/>
      <c r="F908" s="6"/>
      <c r="G908" s="6"/>
      <c r="H908" s="6"/>
      <c r="I908" s="6"/>
      <c r="J908" s="6"/>
      <c r="K908" s="6"/>
      <c r="L908" s="6"/>
      <c r="M908" s="6"/>
      <c r="N908" s="6"/>
      <c r="O908" s="6"/>
      <c r="P908" s="6"/>
      <c r="Q908" s="6"/>
      <c r="R908" s="6"/>
      <c r="S908" s="6"/>
      <c r="T908" s="6"/>
      <c r="U908" s="6"/>
      <c r="V908" s="6"/>
      <c r="W908" s="6"/>
      <c r="X908" s="6"/>
      <c r="Y908" s="6"/>
      <c r="Z908" s="6"/>
      <c r="AA908" s="6"/>
    </row>
    <row r="909" spans="1:27" ht="14.25">
      <c r="A909" s="6"/>
      <c r="B909" s="6"/>
      <c r="C909" s="6"/>
      <c r="D909" s="6"/>
      <c r="E909" s="6"/>
      <c r="F909" s="6"/>
      <c r="G909" s="6"/>
      <c r="H909" s="6"/>
      <c r="I909" s="6"/>
      <c r="J909" s="6"/>
      <c r="K909" s="6"/>
      <c r="L909" s="6"/>
      <c r="M909" s="6"/>
      <c r="N909" s="6"/>
      <c r="O909" s="6"/>
      <c r="P909" s="6"/>
      <c r="Q909" s="6"/>
      <c r="R909" s="6"/>
      <c r="S909" s="6"/>
      <c r="T909" s="6"/>
      <c r="U909" s="6"/>
      <c r="V909" s="6"/>
      <c r="W909" s="6"/>
      <c r="X909" s="6"/>
      <c r="Y909" s="6"/>
      <c r="Z909" s="6"/>
      <c r="AA909" s="6"/>
    </row>
    <row r="910" spans="1:27" ht="14.25">
      <c r="A910" s="6"/>
      <c r="B910" s="6"/>
      <c r="C910" s="6"/>
      <c r="D910" s="6"/>
      <c r="E910" s="6"/>
      <c r="F910" s="6"/>
      <c r="G910" s="6"/>
      <c r="H910" s="6"/>
      <c r="I910" s="6"/>
      <c r="J910" s="6"/>
      <c r="K910" s="6"/>
      <c r="L910" s="6"/>
      <c r="M910" s="6"/>
      <c r="N910" s="6"/>
      <c r="O910" s="6"/>
      <c r="P910" s="6"/>
      <c r="Q910" s="6"/>
      <c r="R910" s="6"/>
      <c r="S910" s="6"/>
      <c r="T910" s="6"/>
      <c r="U910" s="6"/>
      <c r="V910" s="6"/>
      <c r="W910" s="6"/>
      <c r="X910" s="6"/>
      <c r="Y910" s="6"/>
      <c r="Z910" s="6"/>
      <c r="AA910" s="6"/>
    </row>
    <row r="911" spans="1:27" ht="14.25">
      <c r="A911" s="6"/>
      <c r="B911" s="6"/>
      <c r="C911" s="6"/>
      <c r="D911" s="6"/>
      <c r="E911" s="6"/>
      <c r="F911" s="6"/>
      <c r="G911" s="6"/>
      <c r="H911" s="6"/>
      <c r="I911" s="6"/>
      <c r="J911" s="6"/>
      <c r="K911" s="6"/>
      <c r="L911" s="6"/>
      <c r="M911" s="6"/>
      <c r="N911" s="6"/>
      <c r="O911" s="6"/>
      <c r="P911" s="6"/>
      <c r="Q911" s="6"/>
      <c r="R911" s="6"/>
      <c r="S911" s="6"/>
      <c r="T911" s="6"/>
      <c r="U911" s="6"/>
      <c r="V911" s="6"/>
      <c r="W911" s="6"/>
      <c r="X911" s="6"/>
      <c r="Y911" s="6"/>
      <c r="Z911" s="6"/>
      <c r="AA911" s="6"/>
    </row>
    <row r="912" spans="1:27" ht="14.25">
      <c r="A912" s="6"/>
      <c r="B912" s="6"/>
      <c r="C912" s="6"/>
      <c r="D912" s="6"/>
      <c r="E912" s="6"/>
      <c r="F912" s="6"/>
      <c r="G912" s="6"/>
      <c r="H912" s="6"/>
      <c r="I912" s="6"/>
      <c r="J912" s="6"/>
      <c r="K912" s="6"/>
      <c r="L912" s="6"/>
      <c r="M912" s="6"/>
      <c r="N912" s="6"/>
      <c r="O912" s="6"/>
      <c r="P912" s="6"/>
      <c r="Q912" s="6"/>
      <c r="R912" s="6"/>
      <c r="S912" s="6"/>
      <c r="T912" s="6"/>
      <c r="U912" s="6"/>
      <c r="V912" s="6"/>
      <c r="W912" s="6"/>
      <c r="X912" s="6"/>
      <c r="Y912" s="6"/>
      <c r="Z912" s="6"/>
      <c r="AA912" s="6"/>
    </row>
    <row r="913" spans="1:27" ht="14.25">
      <c r="A913" s="6"/>
      <c r="B913" s="6"/>
      <c r="C913" s="6"/>
      <c r="D913" s="6"/>
      <c r="E913" s="6"/>
      <c r="F913" s="6"/>
      <c r="G913" s="6"/>
      <c r="H913" s="6"/>
      <c r="I913" s="6"/>
      <c r="J913" s="6"/>
      <c r="K913" s="6"/>
      <c r="L913" s="6"/>
      <c r="M913" s="6"/>
      <c r="N913" s="6"/>
      <c r="O913" s="6"/>
      <c r="P913" s="6"/>
      <c r="Q913" s="6"/>
      <c r="R913" s="6"/>
      <c r="S913" s="6"/>
      <c r="T913" s="6"/>
      <c r="U913" s="6"/>
      <c r="V913" s="6"/>
      <c r="W913" s="6"/>
      <c r="X913" s="6"/>
      <c r="Y913" s="6"/>
      <c r="Z913" s="6"/>
      <c r="AA913" s="6"/>
    </row>
    <row r="914" spans="1:27" ht="14.25">
      <c r="A914" s="6"/>
      <c r="B914" s="6"/>
      <c r="C914" s="6"/>
      <c r="D914" s="6"/>
      <c r="E914" s="6"/>
      <c r="F914" s="6"/>
      <c r="G914" s="6"/>
      <c r="H914" s="6"/>
      <c r="I914" s="6"/>
      <c r="J914" s="6"/>
      <c r="K914" s="6"/>
      <c r="L914" s="6"/>
      <c r="M914" s="6"/>
      <c r="N914" s="6"/>
      <c r="O914" s="6"/>
      <c r="P914" s="6"/>
      <c r="Q914" s="6"/>
      <c r="R914" s="6"/>
      <c r="S914" s="6"/>
      <c r="T914" s="6"/>
      <c r="U914" s="6"/>
      <c r="V914" s="6"/>
      <c r="W914" s="6"/>
      <c r="X914" s="6"/>
      <c r="Y914" s="6"/>
      <c r="Z914" s="6"/>
      <c r="AA914" s="6"/>
    </row>
    <row r="915" spans="1:27" ht="14.25">
      <c r="A915" s="6"/>
      <c r="B915" s="6"/>
      <c r="C915" s="6"/>
      <c r="D915" s="6"/>
      <c r="E915" s="6"/>
      <c r="F915" s="6"/>
      <c r="G915" s="6"/>
      <c r="H915" s="6"/>
      <c r="I915" s="6"/>
      <c r="J915" s="6"/>
      <c r="K915" s="6"/>
      <c r="L915" s="6"/>
      <c r="M915" s="6"/>
      <c r="N915" s="6"/>
      <c r="O915" s="6"/>
      <c r="P915" s="6"/>
      <c r="Q915" s="6"/>
      <c r="R915" s="6"/>
      <c r="S915" s="6"/>
      <c r="T915" s="6"/>
      <c r="U915" s="6"/>
      <c r="V915" s="6"/>
      <c r="W915" s="6"/>
      <c r="X915" s="6"/>
      <c r="Y915" s="6"/>
      <c r="Z915" s="6"/>
      <c r="AA915" s="6"/>
    </row>
    <row r="916" spans="1:27" ht="14.25">
      <c r="A916" s="6"/>
      <c r="B916" s="6"/>
      <c r="C916" s="6"/>
      <c r="D916" s="6"/>
      <c r="E916" s="6"/>
      <c r="F916" s="6"/>
      <c r="G916" s="6"/>
      <c r="H916" s="6"/>
      <c r="I916" s="6"/>
      <c r="J916" s="6"/>
      <c r="K916" s="6"/>
      <c r="L916" s="6"/>
      <c r="M916" s="6"/>
      <c r="N916" s="6"/>
      <c r="O916" s="6"/>
      <c r="P916" s="6"/>
      <c r="Q916" s="6"/>
      <c r="R916" s="6"/>
      <c r="S916" s="6"/>
      <c r="T916" s="6"/>
      <c r="U916" s="6"/>
      <c r="V916" s="6"/>
      <c r="W916" s="6"/>
      <c r="X916" s="6"/>
      <c r="Y916" s="6"/>
      <c r="Z916" s="6"/>
      <c r="AA916" s="6"/>
    </row>
    <row r="917" spans="1:27" ht="14.25">
      <c r="A917" s="6"/>
      <c r="B917" s="6"/>
      <c r="C917" s="6"/>
      <c r="D917" s="6"/>
      <c r="E917" s="6"/>
      <c r="F917" s="6"/>
      <c r="G917" s="6"/>
      <c r="H917" s="6"/>
      <c r="I917" s="6"/>
      <c r="J917" s="6"/>
      <c r="K917" s="6"/>
      <c r="L917" s="6"/>
      <c r="M917" s="6"/>
      <c r="N917" s="6"/>
      <c r="O917" s="6"/>
      <c r="P917" s="6"/>
      <c r="Q917" s="6"/>
      <c r="R917" s="6"/>
      <c r="S917" s="6"/>
      <c r="T917" s="6"/>
      <c r="U917" s="6"/>
      <c r="V917" s="6"/>
      <c r="W917" s="6"/>
      <c r="X917" s="6"/>
      <c r="Y917" s="6"/>
      <c r="Z917" s="6"/>
      <c r="AA917" s="6"/>
    </row>
    <row r="918" spans="1:27" ht="14.25">
      <c r="A918" s="6"/>
      <c r="B918" s="6"/>
      <c r="C918" s="6"/>
      <c r="D918" s="6"/>
      <c r="E918" s="6"/>
      <c r="F918" s="6"/>
      <c r="G918" s="6"/>
      <c r="H918" s="6"/>
      <c r="I918" s="6"/>
      <c r="J918" s="6"/>
      <c r="K918" s="6"/>
      <c r="L918" s="6"/>
      <c r="M918" s="6"/>
      <c r="N918" s="6"/>
      <c r="O918" s="6"/>
      <c r="P918" s="6"/>
      <c r="Q918" s="6"/>
      <c r="R918" s="6"/>
      <c r="S918" s="6"/>
      <c r="T918" s="6"/>
      <c r="U918" s="6"/>
      <c r="V918" s="6"/>
      <c r="W918" s="6"/>
      <c r="X918" s="6"/>
      <c r="Y918" s="6"/>
      <c r="Z918" s="6"/>
      <c r="AA918" s="6"/>
    </row>
    <row r="919" spans="1:27" ht="14.25">
      <c r="A919" s="6"/>
      <c r="B919" s="6"/>
      <c r="C919" s="6"/>
      <c r="D919" s="6"/>
      <c r="E919" s="6"/>
      <c r="F919" s="6"/>
      <c r="G919" s="6"/>
      <c r="H919" s="6"/>
      <c r="I919" s="6"/>
      <c r="J919" s="6"/>
      <c r="K919" s="6"/>
      <c r="L919" s="6"/>
      <c r="M919" s="6"/>
      <c r="N919" s="6"/>
      <c r="O919" s="6"/>
      <c r="P919" s="6"/>
      <c r="Q919" s="6"/>
      <c r="R919" s="6"/>
      <c r="S919" s="6"/>
      <c r="T919" s="6"/>
      <c r="U919" s="6"/>
      <c r="V919" s="6"/>
      <c r="W919" s="6"/>
      <c r="X919" s="6"/>
      <c r="Y919" s="6"/>
      <c r="Z919" s="6"/>
      <c r="AA919" s="6"/>
    </row>
    <row r="920" spans="1:27" ht="14.25">
      <c r="A920" s="6"/>
      <c r="B920" s="6"/>
      <c r="C920" s="6"/>
      <c r="D920" s="6"/>
      <c r="E920" s="6"/>
      <c r="F920" s="6"/>
      <c r="G920" s="6"/>
      <c r="H920" s="6"/>
      <c r="I920" s="6"/>
      <c r="J920" s="6"/>
      <c r="K920" s="6"/>
      <c r="L920" s="6"/>
      <c r="M920" s="6"/>
      <c r="N920" s="6"/>
      <c r="O920" s="6"/>
      <c r="P920" s="6"/>
      <c r="Q920" s="6"/>
      <c r="R920" s="6"/>
      <c r="S920" s="6"/>
      <c r="T920" s="6"/>
      <c r="U920" s="6"/>
      <c r="V920" s="6"/>
      <c r="W920" s="6"/>
      <c r="X920" s="6"/>
      <c r="Y920" s="6"/>
      <c r="Z920" s="6"/>
      <c r="AA920" s="6"/>
    </row>
    <row r="921" spans="1:27" ht="14.25">
      <c r="A921" s="6"/>
      <c r="B921" s="6"/>
      <c r="C921" s="6"/>
      <c r="D921" s="6"/>
      <c r="E921" s="6"/>
      <c r="F921" s="6"/>
      <c r="G921" s="6"/>
      <c r="H921" s="6"/>
      <c r="I921" s="6"/>
      <c r="J921" s="6"/>
      <c r="K921" s="6"/>
      <c r="L921" s="6"/>
      <c r="M921" s="6"/>
      <c r="N921" s="6"/>
      <c r="O921" s="6"/>
      <c r="P921" s="6"/>
      <c r="Q921" s="6"/>
      <c r="R921" s="6"/>
      <c r="S921" s="6"/>
      <c r="T921" s="6"/>
      <c r="U921" s="6"/>
      <c r="V921" s="6"/>
      <c r="W921" s="6"/>
      <c r="X921" s="6"/>
      <c r="Y921" s="6"/>
      <c r="Z921" s="6"/>
      <c r="AA921" s="6"/>
    </row>
    <row r="922" spans="1:27" ht="14.25">
      <c r="A922" s="6"/>
      <c r="B922" s="6"/>
      <c r="C922" s="6"/>
      <c r="D922" s="6"/>
      <c r="E922" s="6"/>
      <c r="F922" s="6"/>
      <c r="G922" s="6"/>
      <c r="H922" s="6"/>
      <c r="I922" s="6"/>
      <c r="J922" s="6"/>
      <c r="K922" s="6"/>
      <c r="L922" s="6"/>
      <c r="M922" s="6"/>
      <c r="N922" s="6"/>
      <c r="O922" s="6"/>
      <c r="P922" s="6"/>
      <c r="Q922" s="6"/>
      <c r="R922" s="6"/>
      <c r="S922" s="6"/>
      <c r="T922" s="6"/>
      <c r="U922" s="6"/>
      <c r="V922" s="6"/>
      <c r="W922" s="6"/>
      <c r="X922" s="6"/>
      <c r="Y922" s="6"/>
      <c r="Z922" s="6"/>
      <c r="AA922" s="6"/>
    </row>
    <row r="923" spans="1:27" ht="14.25">
      <c r="A923" s="6"/>
      <c r="B923" s="6"/>
      <c r="C923" s="6"/>
      <c r="D923" s="6"/>
      <c r="E923" s="6"/>
      <c r="F923" s="6"/>
      <c r="G923" s="6"/>
      <c r="H923" s="6"/>
      <c r="I923" s="6"/>
      <c r="J923" s="6"/>
      <c r="K923" s="6"/>
      <c r="L923" s="6"/>
      <c r="M923" s="6"/>
      <c r="N923" s="6"/>
      <c r="O923" s="6"/>
      <c r="P923" s="6"/>
      <c r="Q923" s="6"/>
      <c r="R923" s="6"/>
      <c r="S923" s="6"/>
      <c r="T923" s="6"/>
      <c r="U923" s="6"/>
      <c r="V923" s="6"/>
      <c r="W923" s="6"/>
      <c r="X923" s="6"/>
      <c r="Y923" s="6"/>
      <c r="Z923" s="6"/>
      <c r="AA923" s="6"/>
    </row>
    <row r="924" spans="1:27" ht="14.25">
      <c r="A924" s="6"/>
      <c r="B924" s="6"/>
      <c r="C924" s="6"/>
      <c r="D924" s="6"/>
      <c r="E924" s="6"/>
      <c r="F924" s="6"/>
      <c r="G924" s="6"/>
      <c r="H924" s="6"/>
      <c r="I924" s="6"/>
      <c r="J924" s="6"/>
      <c r="K924" s="6"/>
      <c r="L924" s="6"/>
      <c r="M924" s="6"/>
      <c r="N924" s="6"/>
      <c r="O924" s="6"/>
      <c r="P924" s="6"/>
      <c r="Q924" s="6"/>
      <c r="R924" s="6"/>
      <c r="S924" s="6"/>
      <c r="T924" s="6"/>
      <c r="U924" s="6"/>
      <c r="V924" s="6"/>
      <c r="W924" s="6"/>
      <c r="X924" s="6"/>
      <c r="Y924" s="6"/>
      <c r="Z924" s="6"/>
      <c r="AA924" s="6"/>
    </row>
    <row r="925" spans="1:27" ht="14.25">
      <c r="A925" s="6"/>
      <c r="B925" s="6"/>
      <c r="C925" s="6"/>
      <c r="D925" s="6"/>
      <c r="E925" s="6"/>
      <c r="F925" s="6"/>
      <c r="G925" s="6"/>
      <c r="H925" s="6"/>
      <c r="I925" s="6"/>
      <c r="J925" s="6"/>
      <c r="K925" s="6"/>
      <c r="L925" s="6"/>
      <c r="M925" s="6"/>
      <c r="N925" s="6"/>
      <c r="O925" s="6"/>
      <c r="P925" s="6"/>
      <c r="Q925" s="6"/>
      <c r="R925" s="6"/>
      <c r="S925" s="6"/>
      <c r="T925" s="6"/>
      <c r="U925" s="6"/>
      <c r="V925" s="6"/>
      <c r="W925" s="6"/>
      <c r="X925" s="6"/>
      <c r="Y925" s="6"/>
      <c r="Z925" s="6"/>
      <c r="AA925" s="6"/>
    </row>
    <row r="926" spans="1:27" ht="14.25">
      <c r="A926" s="6"/>
      <c r="B926" s="6"/>
      <c r="C926" s="6"/>
      <c r="D926" s="6"/>
      <c r="E926" s="6"/>
      <c r="F926" s="6"/>
      <c r="G926" s="6"/>
      <c r="H926" s="6"/>
      <c r="I926" s="6"/>
      <c r="J926" s="6"/>
      <c r="K926" s="6"/>
      <c r="L926" s="6"/>
      <c r="M926" s="6"/>
      <c r="N926" s="6"/>
      <c r="O926" s="6"/>
      <c r="P926" s="6"/>
      <c r="Q926" s="6"/>
      <c r="R926" s="6"/>
      <c r="S926" s="6"/>
      <c r="T926" s="6"/>
      <c r="U926" s="6"/>
      <c r="V926" s="6"/>
      <c r="W926" s="6"/>
      <c r="X926" s="6"/>
      <c r="Y926" s="6"/>
      <c r="Z926" s="6"/>
      <c r="AA926" s="6"/>
    </row>
    <row r="927" spans="1:27" ht="14.25">
      <c r="A927" s="6"/>
      <c r="B927" s="6"/>
      <c r="C927" s="6"/>
      <c r="D927" s="6"/>
      <c r="E927" s="6"/>
      <c r="F927" s="6"/>
      <c r="G927" s="6"/>
      <c r="H927" s="6"/>
      <c r="I927" s="6"/>
      <c r="J927" s="6"/>
      <c r="K927" s="6"/>
      <c r="L927" s="6"/>
      <c r="M927" s="6"/>
      <c r="N927" s="6"/>
      <c r="O927" s="6"/>
      <c r="P927" s="6"/>
      <c r="Q927" s="6"/>
      <c r="R927" s="6"/>
      <c r="S927" s="6"/>
      <c r="T927" s="6"/>
      <c r="U927" s="6"/>
      <c r="V927" s="6"/>
      <c r="W927" s="6"/>
      <c r="X927" s="6"/>
      <c r="Y927" s="6"/>
      <c r="Z927" s="6"/>
      <c r="AA927" s="6"/>
    </row>
    <row r="928" spans="1:27" ht="14.25">
      <c r="A928" s="6"/>
      <c r="B928" s="6"/>
      <c r="C928" s="6"/>
      <c r="D928" s="6"/>
      <c r="E928" s="6"/>
      <c r="F928" s="6"/>
      <c r="G928" s="6"/>
      <c r="H928" s="6"/>
      <c r="I928" s="6"/>
      <c r="J928" s="6"/>
      <c r="K928" s="6"/>
      <c r="L928" s="6"/>
      <c r="M928" s="6"/>
      <c r="N928" s="6"/>
      <c r="O928" s="6"/>
      <c r="P928" s="6"/>
      <c r="Q928" s="6"/>
      <c r="R928" s="6"/>
      <c r="S928" s="6"/>
      <c r="T928" s="6"/>
      <c r="U928" s="6"/>
      <c r="V928" s="6"/>
      <c r="W928" s="6"/>
      <c r="X928" s="6"/>
      <c r="Y928" s="6"/>
      <c r="Z928" s="6"/>
      <c r="AA928" s="6"/>
    </row>
    <row r="929" spans="1:27" ht="14.25">
      <c r="A929" s="6"/>
      <c r="B929" s="6"/>
      <c r="C929" s="6"/>
      <c r="D929" s="6"/>
      <c r="E929" s="6"/>
      <c r="F929" s="6"/>
      <c r="G929" s="6"/>
      <c r="H929" s="6"/>
      <c r="I929" s="6"/>
      <c r="J929" s="6"/>
      <c r="K929" s="6"/>
      <c r="L929" s="6"/>
      <c r="M929" s="6"/>
      <c r="N929" s="6"/>
      <c r="O929" s="6"/>
      <c r="P929" s="6"/>
      <c r="Q929" s="6"/>
      <c r="R929" s="6"/>
      <c r="S929" s="6"/>
      <c r="T929" s="6"/>
      <c r="U929" s="6"/>
      <c r="V929" s="6"/>
      <c r="W929" s="6"/>
      <c r="X929" s="6"/>
      <c r="Y929" s="6"/>
      <c r="Z929" s="6"/>
      <c r="AA929" s="6"/>
    </row>
    <row r="930" spans="1:27" ht="14.25">
      <c r="A930" s="6"/>
      <c r="B930" s="6"/>
      <c r="C930" s="6"/>
      <c r="D930" s="6"/>
      <c r="E930" s="6"/>
      <c r="F930" s="6"/>
      <c r="G930" s="6"/>
      <c r="H930" s="6"/>
      <c r="I930" s="6"/>
      <c r="J930" s="6"/>
      <c r="K930" s="6"/>
      <c r="L930" s="6"/>
      <c r="M930" s="6"/>
      <c r="N930" s="6"/>
      <c r="O930" s="6"/>
      <c r="P930" s="6"/>
      <c r="Q930" s="6"/>
      <c r="R930" s="6"/>
      <c r="S930" s="6"/>
      <c r="T930" s="6"/>
      <c r="U930" s="6"/>
      <c r="V930" s="6"/>
      <c r="W930" s="6"/>
      <c r="X930" s="6"/>
      <c r="Y930" s="6"/>
      <c r="Z930" s="6"/>
      <c r="AA930" s="6"/>
    </row>
    <row r="931" spans="1:27" ht="14.25">
      <c r="A931" s="6"/>
      <c r="B931" s="6"/>
      <c r="C931" s="6"/>
      <c r="D931" s="6"/>
      <c r="E931" s="6"/>
      <c r="F931" s="6"/>
      <c r="G931" s="6"/>
      <c r="H931" s="6"/>
      <c r="I931" s="6"/>
      <c r="J931" s="6"/>
      <c r="K931" s="6"/>
      <c r="L931" s="6"/>
      <c r="M931" s="6"/>
      <c r="N931" s="6"/>
      <c r="O931" s="6"/>
      <c r="P931" s="6"/>
      <c r="Q931" s="6"/>
      <c r="R931" s="6"/>
      <c r="S931" s="6"/>
      <c r="T931" s="6"/>
      <c r="U931" s="6"/>
      <c r="V931" s="6"/>
      <c r="W931" s="6"/>
      <c r="X931" s="6"/>
      <c r="Y931" s="6"/>
      <c r="Z931" s="6"/>
      <c r="AA931" s="6"/>
    </row>
    <row r="932" spans="1:27" ht="14.25">
      <c r="A932" s="6"/>
      <c r="B932" s="6"/>
      <c r="C932" s="6"/>
      <c r="D932" s="6"/>
      <c r="E932" s="6"/>
      <c r="F932" s="6"/>
      <c r="G932" s="6"/>
      <c r="H932" s="6"/>
      <c r="I932" s="6"/>
      <c r="J932" s="6"/>
      <c r="K932" s="6"/>
      <c r="L932" s="6"/>
      <c r="M932" s="6"/>
      <c r="N932" s="6"/>
      <c r="O932" s="6"/>
      <c r="P932" s="6"/>
      <c r="Q932" s="6"/>
      <c r="R932" s="6"/>
      <c r="S932" s="6"/>
      <c r="T932" s="6"/>
      <c r="U932" s="6"/>
      <c r="V932" s="6"/>
      <c r="W932" s="6"/>
      <c r="X932" s="6"/>
      <c r="Y932" s="6"/>
      <c r="Z932" s="6"/>
      <c r="AA932" s="6"/>
    </row>
    <row r="933" spans="1:27" ht="14.25">
      <c r="A933" s="6"/>
      <c r="B933" s="6"/>
      <c r="C933" s="6"/>
      <c r="D933" s="6"/>
      <c r="E933" s="6"/>
      <c r="F933" s="6"/>
      <c r="G933" s="6"/>
      <c r="H933" s="6"/>
      <c r="I933" s="6"/>
      <c r="J933" s="6"/>
      <c r="K933" s="6"/>
      <c r="L933" s="6"/>
      <c r="M933" s="6"/>
      <c r="N933" s="6"/>
      <c r="O933" s="6"/>
      <c r="P933" s="6"/>
      <c r="Q933" s="6"/>
      <c r="R933" s="6"/>
      <c r="S933" s="6"/>
      <c r="T933" s="6"/>
      <c r="U933" s="6"/>
      <c r="V933" s="6"/>
      <c r="W933" s="6"/>
      <c r="X933" s="6"/>
      <c r="Y933" s="6"/>
      <c r="Z933" s="6"/>
      <c r="AA933" s="6"/>
    </row>
    <row r="934" spans="1:27" ht="14.25">
      <c r="A934" s="6"/>
      <c r="B934" s="6"/>
      <c r="C934" s="6"/>
      <c r="D934" s="6"/>
      <c r="E934" s="6"/>
      <c r="F934" s="6"/>
      <c r="G934" s="6"/>
      <c r="H934" s="6"/>
      <c r="I934" s="6"/>
      <c r="J934" s="6"/>
      <c r="K934" s="6"/>
      <c r="L934" s="6"/>
      <c r="M934" s="6"/>
      <c r="N934" s="6"/>
      <c r="O934" s="6"/>
      <c r="P934" s="6"/>
      <c r="Q934" s="6"/>
      <c r="R934" s="6"/>
      <c r="S934" s="6"/>
      <c r="T934" s="6"/>
      <c r="U934" s="6"/>
      <c r="V934" s="6"/>
      <c r="W934" s="6"/>
      <c r="X934" s="6"/>
      <c r="Y934" s="6"/>
      <c r="Z934" s="6"/>
      <c r="AA934" s="6"/>
    </row>
    <row r="935" spans="1:27" ht="14.25">
      <c r="A935" s="6"/>
      <c r="B935" s="6"/>
      <c r="C935" s="6"/>
      <c r="D935" s="6"/>
      <c r="E935" s="6"/>
      <c r="F935" s="6"/>
      <c r="G935" s="6"/>
      <c r="H935" s="6"/>
      <c r="I935" s="6"/>
      <c r="J935" s="6"/>
      <c r="K935" s="6"/>
      <c r="L935" s="6"/>
      <c r="M935" s="6"/>
      <c r="N935" s="6"/>
      <c r="O935" s="6"/>
      <c r="P935" s="6"/>
      <c r="Q935" s="6"/>
      <c r="R935" s="6"/>
      <c r="S935" s="6"/>
      <c r="T935" s="6"/>
      <c r="U935" s="6"/>
      <c r="V935" s="6"/>
      <c r="W935" s="6"/>
      <c r="X935" s="6"/>
      <c r="Y935" s="6"/>
      <c r="Z935" s="6"/>
      <c r="AA935" s="6"/>
    </row>
    <row r="936" spans="1:27" ht="14.25">
      <c r="A936" s="6"/>
      <c r="B936" s="6"/>
      <c r="C936" s="6"/>
      <c r="D936" s="6"/>
      <c r="E936" s="6"/>
      <c r="F936" s="6"/>
      <c r="G936" s="6"/>
      <c r="H936" s="6"/>
      <c r="I936" s="6"/>
      <c r="J936" s="6"/>
      <c r="K936" s="6"/>
      <c r="L936" s="6"/>
      <c r="M936" s="6"/>
      <c r="N936" s="6"/>
      <c r="O936" s="6"/>
      <c r="P936" s="6"/>
      <c r="Q936" s="6"/>
      <c r="R936" s="6"/>
      <c r="S936" s="6"/>
      <c r="T936" s="6"/>
      <c r="U936" s="6"/>
      <c r="V936" s="6"/>
      <c r="W936" s="6"/>
      <c r="X936" s="6"/>
      <c r="Y936" s="6"/>
      <c r="Z936" s="6"/>
      <c r="AA936" s="6"/>
    </row>
    <row r="937" spans="1:27" ht="14.25">
      <c r="A937" s="6"/>
      <c r="B937" s="6"/>
      <c r="C937" s="6"/>
      <c r="D937" s="6"/>
      <c r="E937" s="6"/>
      <c r="F937" s="6"/>
      <c r="G937" s="6"/>
      <c r="H937" s="6"/>
      <c r="I937" s="6"/>
      <c r="J937" s="6"/>
      <c r="K937" s="6"/>
      <c r="L937" s="6"/>
      <c r="M937" s="6"/>
      <c r="N937" s="6"/>
      <c r="O937" s="6"/>
      <c r="P937" s="6"/>
      <c r="Q937" s="6"/>
      <c r="R937" s="6"/>
      <c r="S937" s="6"/>
      <c r="T937" s="6"/>
      <c r="U937" s="6"/>
      <c r="V937" s="6"/>
      <c r="W937" s="6"/>
      <c r="X937" s="6"/>
      <c r="Y937" s="6"/>
      <c r="Z937" s="6"/>
      <c r="AA937" s="6"/>
    </row>
    <row r="938" spans="1:27" ht="14.25">
      <c r="A938" s="6"/>
      <c r="B938" s="6"/>
      <c r="C938" s="6"/>
      <c r="D938" s="6"/>
      <c r="E938" s="6"/>
      <c r="F938" s="6"/>
      <c r="G938" s="6"/>
      <c r="H938" s="6"/>
      <c r="I938" s="6"/>
      <c r="J938" s="6"/>
      <c r="K938" s="6"/>
      <c r="L938" s="6"/>
      <c r="M938" s="6"/>
      <c r="N938" s="6"/>
      <c r="O938" s="6"/>
      <c r="P938" s="6"/>
      <c r="Q938" s="6"/>
      <c r="R938" s="6"/>
      <c r="S938" s="6"/>
      <c r="T938" s="6"/>
      <c r="U938" s="6"/>
      <c r="V938" s="6"/>
      <c r="W938" s="6"/>
      <c r="X938" s="6"/>
      <c r="Y938" s="6"/>
      <c r="Z938" s="6"/>
      <c r="AA938" s="6"/>
    </row>
    <row r="939" spans="1:27" ht="14.25">
      <c r="A939" s="6"/>
      <c r="B939" s="6"/>
      <c r="C939" s="6"/>
      <c r="D939" s="6"/>
      <c r="E939" s="6"/>
      <c r="F939" s="6"/>
      <c r="G939" s="6"/>
      <c r="H939" s="6"/>
      <c r="I939" s="6"/>
      <c r="J939" s="6"/>
      <c r="K939" s="6"/>
      <c r="L939" s="6"/>
      <c r="M939" s="6"/>
      <c r="N939" s="6"/>
      <c r="O939" s="6"/>
      <c r="P939" s="6"/>
      <c r="Q939" s="6"/>
      <c r="R939" s="6"/>
      <c r="S939" s="6"/>
      <c r="T939" s="6"/>
      <c r="U939" s="6"/>
      <c r="V939" s="6"/>
      <c r="W939" s="6"/>
      <c r="X939" s="6"/>
      <c r="Y939" s="6"/>
      <c r="Z939" s="6"/>
      <c r="AA939" s="6"/>
    </row>
    <row r="940" spans="1:27" ht="14.25">
      <c r="A940" s="6"/>
      <c r="B940" s="6"/>
      <c r="C940" s="6"/>
      <c r="D940" s="6"/>
      <c r="E940" s="6"/>
      <c r="F940" s="6"/>
      <c r="G940" s="6"/>
      <c r="H940" s="6"/>
      <c r="I940" s="6"/>
      <c r="J940" s="6"/>
      <c r="K940" s="6"/>
      <c r="L940" s="6"/>
      <c r="M940" s="6"/>
      <c r="N940" s="6"/>
      <c r="O940" s="6"/>
      <c r="P940" s="6"/>
      <c r="Q940" s="6"/>
      <c r="R940" s="6"/>
      <c r="S940" s="6"/>
      <c r="T940" s="6"/>
      <c r="U940" s="6"/>
      <c r="V940" s="6"/>
      <c r="W940" s="6"/>
      <c r="X940" s="6"/>
      <c r="Y940" s="6"/>
      <c r="Z940" s="6"/>
      <c r="AA940" s="6"/>
    </row>
    <row r="941" spans="1:27" ht="14.25">
      <c r="A941" s="6"/>
      <c r="B941" s="6"/>
      <c r="C941" s="6"/>
      <c r="D941" s="6"/>
      <c r="E941" s="6"/>
      <c r="F941" s="6"/>
      <c r="G941" s="6"/>
      <c r="H941" s="6"/>
      <c r="I941" s="6"/>
      <c r="J941" s="6"/>
      <c r="K941" s="6"/>
      <c r="L941" s="6"/>
      <c r="M941" s="6"/>
      <c r="N941" s="6"/>
      <c r="O941" s="6"/>
      <c r="P941" s="6"/>
      <c r="Q941" s="6"/>
      <c r="R941" s="6"/>
      <c r="S941" s="6"/>
      <c r="T941" s="6"/>
      <c r="U941" s="6"/>
      <c r="V941" s="6"/>
      <c r="W941" s="6"/>
      <c r="X941" s="6"/>
      <c r="Y941" s="6"/>
      <c r="Z941" s="6"/>
      <c r="AA941" s="6"/>
    </row>
    <row r="942" spans="1:27" ht="14.25">
      <c r="A942" s="6"/>
      <c r="B942" s="6"/>
      <c r="C942" s="6"/>
      <c r="D942" s="6"/>
      <c r="E942" s="6"/>
      <c r="F942" s="6"/>
      <c r="G942" s="6"/>
      <c r="H942" s="6"/>
      <c r="I942" s="6"/>
      <c r="J942" s="6"/>
      <c r="K942" s="6"/>
      <c r="L942" s="6"/>
      <c r="M942" s="6"/>
      <c r="N942" s="6"/>
      <c r="O942" s="6"/>
      <c r="P942" s="6"/>
      <c r="Q942" s="6"/>
      <c r="R942" s="6"/>
      <c r="S942" s="6"/>
      <c r="T942" s="6"/>
      <c r="U942" s="6"/>
      <c r="V942" s="6"/>
      <c r="W942" s="6"/>
      <c r="X942" s="6"/>
      <c r="Y942" s="6"/>
      <c r="Z942" s="6"/>
      <c r="AA942" s="6"/>
    </row>
    <row r="943" spans="1:27" ht="14.25">
      <c r="A943" s="6"/>
      <c r="B943" s="6"/>
      <c r="C943" s="6"/>
      <c r="D943" s="6"/>
      <c r="E943" s="6"/>
      <c r="F943" s="6"/>
      <c r="G943" s="6"/>
      <c r="H943" s="6"/>
      <c r="I943" s="6"/>
      <c r="J943" s="6"/>
      <c r="K943" s="6"/>
      <c r="L943" s="6"/>
      <c r="M943" s="6"/>
      <c r="N943" s="6"/>
      <c r="O943" s="6"/>
      <c r="P943" s="6"/>
      <c r="Q943" s="6"/>
      <c r="R943" s="6"/>
      <c r="S943" s="6"/>
      <c r="T943" s="6"/>
      <c r="U943" s="6"/>
      <c r="V943" s="6"/>
      <c r="W943" s="6"/>
      <c r="X943" s="6"/>
      <c r="Y943" s="6"/>
      <c r="Z943" s="6"/>
      <c r="AA943" s="6"/>
    </row>
    <row r="944" spans="1:27" ht="14.25">
      <c r="A944" s="6"/>
      <c r="B944" s="6"/>
      <c r="C944" s="6"/>
      <c r="D944" s="6"/>
      <c r="E944" s="6"/>
      <c r="F944" s="6"/>
      <c r="G944" s="6"/>
      <c r="H944" s="6"/>
      <c r="I944" s="6"/>
      <c r="J944" s="6"/>
      <c r="K944" s="6"/>
      <c r="L944" s="6"/>
      <c r="M944" s="6"/>
      <c r="N944" s="6"/>
      <c r="O944" s="6"/>
      <c r="P944" s="6"/>
      <c r="Q944" s="6"/>
      <c r="R944" s="6"/>
      <c r="S944" s="6"/>
      <c r="T944" s="6"/>
      <c r="U944" s="6"/>
      <c r="V944" s="6"/>
      <c r="W944" s="6"/>
      <c r="X944" s="6"/>
      <c r="Y944" s="6"/>
      <c r="Z944" s="6"/>
      <c r="AA944" s="6"/>
    </row>
    <row r="945" spans="1:27" ht="14.25">
      <c r="A945" s="6"/>
      <c r="B945" s="6"/>
      <c r="C945" s="6"/>
      <c r="D945" s="6"/>
      <c r="E945" s="6"/>
      <c r="F945" s="6"/>
      <c r="G945" s="6"/>
      <c r="H945" s="6"/>
      <c r="I945" s="6"/>
      <c r="J945" s="6"/>
      <c r="K945" s="6"/>
      <c r="L945" s="6"/>
      <c r="M945" s="6"/>
      <c r="N945" s="6"/>
      <c r="O945" s="6"/>
      <c r="P945" s="6"/>
      <c r="Q945" s="6"/>
      <c r="R945" s="6"/>
      <c r="S945" s="6"/>
      <c r="T945" s="6"/>
      <c r="U945" s="6"/>
      <c r="V945" s="6"/>
      <c r="W945" s="6"/>
      <c r="X945" s="6"/>
      <c r="Y945" s="6"/>
      <c r="Z945" s="6"/>
      <c r="AA945" s="6"/>
    </row>
    <row r="946" spans="1:27" ht="14.25">
      <c r="A946" s="6"/>
      <c r="B946" s="6"/>
      <c r="C946" s="6"/>
      <c r="D946" s="6"/>
      <c r="E946" s="6"/>
      <c r="F946" s="6"/>
      <c r="G946" s="6"/>
      <c r="H946" s="6"/>
      <c r="I946" s="6"/>
      <c r="J946" s="6"/>
      <c r="K946" s="6"/>
      <c r="L946" s="6"/>
      <c r="M946" s="6"/>
      <c r="N946" s="6"/>
      <c r="O946" s="6"/>
      <c r="P946" s="6"/>
      <c r="Q946" s="6"/>
      <c r="R946" s="6"/>
      <c r="S946" s="6"/>
      <c r="T946" s="6"/>
      <c r="U946" s="6"/>
      <c r="V946" s="6"/>
      <c r="W946" s="6"/>
      <c r="X946" s="6"/>
      <c r="Y946" s="6"/>
      <c r="Z946" s="6"/>
      <c r="AA946" s="6"/>
    </row>
    <row r="947" spans="1:27" ht="14.25">
      <c r="A947" s="6"/>
      <c r="B947" s="6"/>
      <c r="C947" s="6"/>
      <c r="D947" s="6"/>
      <c r="E947" s="6"/>
      <c r="F947" s="6"/>
      <c r="G947" s="6"/>
      <c r="H947" s="6"/>
      <c r="I947" s="6"/>
      <c r="J947" s="6"/>
      <c r="K947" s="6"/>
      <c r="L947" s="6"/>
      <c r="M947" s="6"/>
      <c r="N947" s="6"/>
      <c r="O947" s="6"/>
      <c r="P947" s="6"/>
      <c r="Q947" s="6"/>
      <c r="R947" s="6"/>
      <c r="S947" s="6"/>
      <c r="T947" s="6"/>
      <c r="U947" s="6"/>
      <c r="V947" s="6"/>
      <c r="W947" s="6"/>
      <c r="X947" s="6"/>
      <c r="Y947" s="6"/>
      <c r="Z947" s="6"/>
      <c r="AA947" s="6"/>
    </row>
    <row r="948" spans="1:27" ht="14.25">
      <c r="A948" s="6"/>
      <c r="B948" s="6"/>
      <c r="C948" s="6"/>
      <c r="D948" s="6"/>
      <c r="E948" s="6"/>
      <c r="F948" s="6"/>
      <c r="G948" s="6"/>
      <c r="H948" s="6"/>
      <c r="I948" s="6"/>
      <c r="J948" s="6"/>
      <c r="K948" s="6"/>
      <c r="L948" s="6"/>
      <c r="M948" s="6"/>
      <c r="N948" s="6"/>
      <c r="O948" s="6"/>
      <c r="P948" s="6"/>
      <c r="Q948" s="6"/>
      <c r="R948" s="6"/>
      <c r="S948" s="6"/>
      <c r="T948" s="6"/>
      <c r="U948" s="6"/>
      <c r="V948" s="6"/>
      <c r="W948" s="6"/>
      <c r="X948" s="6"/>
      <c r="Y948" s="6"/>
      <c r="Z948" s="6"/>
      <c r="AA948" s="6"/>
    </row>
    <row r="949" spans="1:27" ht="14.25">
      <c r="A949" s="6"/>
      <c r="B949" s="6"/>
      <c r="C949" s="6"/>
      <c r="D949" s="6"/>
      <c r="E949" s="6"/>
      <c r="F949" s="6"/>
      <c r="G949" s="6"/>
      <c r="H949" s="6"/>
      <c r="I949" s="6"/>
      <c r="J949" s="6"/>
      <c r="K949" s="6"/>
      <c r="L949" s="6"/>
      <c r="M949" s="6"/>
      <c r="N949" s="6"/>
      <c r="O949" s="6"/>
      <c r="P949" s="6"/>
      <c r="Q949" s="6"/>
      <c r="R949" s="6"/>
      <c r="S949" s="6"/>
      <c r="T949" s="6"/>
      <c r="U949" s="6"/>
      <c r="V949" s="6"/>
      <c r="W949" s="6"/>
      <c r="X949" s="6"/>
      <c r="Y949" s="6"/>
      <c r="Z949" s="6"/>
      <c r="AA949" s="6"/>
    </row>
    <row r="950" spans="1:27" ht="14.25">
      <c r="A950" s="6"/>
      <c r="B950" s="6"/>
      <c r="C950" s="6"/>
      <c r="D950" s="6"/>
      <c r="E950" s="6"/>
      <c r="F950" s="6"/>
      <c r="G950" s="6"/>
      <c r="H950" s="6"/>
      <c r="I950" s="6"/>
      <c r="J950" s="6"/>
      <c r="K950" s="6"/>
      <c r="L950" s="6"/>
      <c r="M950" s="6"/>
      <c r="N950" s="6"/>
      <c r="O950" s="6"/>
      <c r="P950" s="6"/>
      <c r="Q950" s="6"/>
      <c r="R950" s="6"/>
      <c r="S950" s="6"/>
      <c r="T950" s="6"/>
      <c r="U950" s="6"/>
      <c r="V950" s="6"/>
      <c r="W950" s="6"/>
      <c r="X950" s="6"/>
      <c r="Y950" s="6"/>
      <c r="Z950" s="6"/>
      <c r="AA950" s="6"/>
    </row>
    <row r="951" spans="1:27" ht="14.25">
      <c r="A951" s="6"/>
      <c r="B951" s="6"/>
      <c r="C951" s="6"/>
      <c r="D951" s="6"/>
      <c r="E951" s="6"/>
      <c r="F951" s="6"/>
      <c r="G951" s="6"/>
      <c r="H951" s="6"/>
      <c r="I951" s="6"/>
      <c r="J951" s="6"/>
      <c r="K951" s="6"/>
      <c r="L951" s="6"/>
      <c r="M951" s="6"/>
      <c r="N951" s="6"/>
      <c r="O951" s="6"/>
      <c r="P951" s="6"/>
      <c r="Q951" s="6"/>
      <c r="R951" s="6"/>
      <c r="S951" s="6"/>
      <c r="T951" s="6"/>
      <c r="U951" s="6"/>
      <c r="V951" s="6"/>
      <c r="W951" s="6"/>
      <c r="X951" s="6"/>
      <c r="Y951" s="6"/>
      <c r="Z951" s="6"/>
      <c r="AA951" s="6"/>
    </row>
    <row r="952" spans="1:27" ht="14.25">
      <c r="A952" s="6"/>
      <c r="B952" s="6"/>
      <c r="C952" s="6"/>
      <c r="D952" s="6"/>
      <c r="E952" s="6"/>
      <c r="F952" s="6"/>
      <c r="G952" s="6"/>
      <c r="H952" s="6"/>
      <c r="I952" s="6"/>
      <c r="J952" s="6"/>
      <c r="K952" s="6"/>
      <c r="L952" s="6"/>
      <c r="M952" s="6"/>
      <c r="N952" s="6"/>
      <c r="O952" s="6"/>
      <c r="P952" s="6"/>
      <c r="Q952" s="6"/>
      <c r="R952" s="6"/>
      <c r="S952" s="6"/>
      <c r="T952" s="6"/>
      <c r="U952" s="6"/>
      <c r="V952" s="6"/>
      <c r="W952" s="6"/>
      <c r="X952" s="6"/>
      <c r="Y952" s="6"/>
      <c r="Z952" s="6"/>
      <c r="AA952" s="6"/>
    </row>
    <row r="953" spans="1:27" ht="14.25">
      <c r="A953" s="6"/>
      <c r="B953" s="6"/>
      <c r="C953" s="6"/>
      <c r="D953" s="6"/>
      <c r="E953" s="6"/>
      <c r="F953" s="6"/>
      <c r="G953" s="6"/>
      <c r="H953" s="6"/>
      <c r="I953" s="6"/>
      <c r="J953" s="6"/>
      <c r="K953" s="6"/>
      <c r="L953" s="6"/>
      <c r="M953" s="6"/>
      <c r="N953" s="6"/>
      <c r="O953" s="6"/>
      <c r="P953" s="6"/>
      <c r="Q953" s="6"/>
      <c r="R953" s="6"/>
      <c r="S953" s="6"/>
      <c r="T953" s="6"/>
      <c r="U953" s="6"/>
      <c r="V953" s="6"/>
      <c r="W953" s="6"/>
      <c r="X953" s="6"/>
      <c r="Y953" s="6"/>
      <c r="Z953" s="6"/>
      <c r="AA953" s="6"/>
    </row>
    <row r="954" spans="1:27" ht="14.25">
      <c r="A954" s="6"/>
      <c r="B954" s="6"/>
      <c r="C954" s="6"/>
      <c r="D954" s="6"/>
      <c r="E954" s="6"/>
      <c r="F954" s="6"/>
      <c r="G954" s="6"/>
      <c r="H954" s="6"/>
      <c r="I954" s="6"/>
      <c r="J954" s="6"/>
      <c r="K954" s="6"/>
      <c r="L954" s="6"/>
      <c r="M954" s="6"/>
      <c r="N954" s="6"/>
      <c r="O954" s="6"/>
      <c r="P954" s="6"/>
      <c r="Q954" s="6"/>
      <c r="R954" s="6"/>
      <c r="S954" s="6"/>
      <c r="T954" s="6"/>
      <c r="U954" s="6"/>
      <c r="V954" s="6"/>
      <c r="W954" s="6"/>
      <c r="X954" s="6"/>
      <c r="Y954" s="6"/>
      <c r="Z954" s="6"/>
      <c r="AA954" s="6"/>
    </row>
    <row r="955" spans="1:27" ht="14.25">
      <c r="A955" s="6"/>
      <c r="B955" s="6"/>
      <c r="C955" s="6"/>
      <c r="D955" s="6"/>
      <c r="E955" s="6"/>
      <c r="F955" s="6"/>
      <c r="G955" s="6"/>
      <c r="H955" s="6"/>
      <c r="I955" s="6"/>
      <c r="J955" s="6"/>
      <c r="K955" s="6"/>
      <c r="L955" s="6"/>
      <c r="M955" s="6"/>
      <c r="N955" s="6"/>
      <c r="O955" s="6"/>
      <c r="P955" s="6"/>
      <c r="Q955" s="6"/>
      <c r="R955" s="6"/>
      <c r="S955" s="6"/>
      <c r="T955" s="6"/>
      <c r="U955" s="6"/>
      <c r="V955" s="6"/>
      <c r="W955" s="6"/>
      <c r="X955" s="6"/>
      <c r="Y955" s="6"/>
      <c r="Z955" s="6"/>
      <c r="AA955" s="6"/>
    </row>
    <row r="956" spans="1:27" ht="14.25">
      <c r="A956" s="6"/>
      <c r="B956" s="6"/>
      <c r="C956" s="6"/>
      <c r="D956" s="6"/>
      <c r="E956" s="6"/>
      <c r="F956" s="6"/>
      <c r="G956" s="6"/>
      <c r="H956" s="6"/>
      <c r="I956" s="6"/>
      <c r="J956" s="6"/>
      <c r="K956" s="6"/>
      <c r="L956" s="6"/>
      <c r="M956" s="6"/>
      <c r="N956" s="6"/>
      <c r="O956" s="6"/>
      <c r="P956" s="6"/>
      <c r="Q956" s="6"/>
      <c r="R956" s="6"/>
      <c r="S956" s="6"/>
      <c r="T956" s="6"/>
      <c r="U956" s="6"/>
      <c r="V956" s="6"/>
      <c r="W956" s="6"/>
      <c r="X956" s="6"/>
      <c r="Y956" s="6"/>
      <c r="Z956" s="6"/>
      <c r="AA956" s="6"/>
    </row>
    <row r="957" spans="1:27" ht="14.25">
      <c r="A957" s="6"/>
      <c r="B957" s="6"/>
      <c r="C957" s="6"/>
      <c r="D957" s="6"/>
      <c r="E957" s="6"/>
      <c r="F957" s="6"/>
      <c r="G957" s="6"/>
      <c r="H957" s="6"/>
      <c r="I957" s="6"/>
      <c r="J957" s="6"/>
      <c r="K957" s="6"/>
      <c r="L957" s="6"/>
      <c r="M957" s="6"/>
      <c r="N957" s="6"/>
      <c r="O957" s="6"/>
      <c r="P957" s="6"/>
      <c r="Q957" s="6"/>
      <c r="R957" s="6"/>
      <c r="S957" s="6"/>
      <c r="T957" s="6"/>
      <c r="U957" s="6"/>
      <c r="V957" s="6"/>
      <c r="W957" s="6"/>
      <c r="X957" s="6"/>
      <c r="Y957" s="6"/>
      <c r="Z957" s="6"/>
      <c r="AA957" s="6"/>
    </row>
    <row r="958" spans="1:27" ht="14.25">
      <c r="A958" s="6"/>
      <c r="B958" s="6"/>
      <c r="C958" s="6"/>
      <c r="D958" s="6"/>
      <c r="E958" s="6"/>
      <c r="F958" s="6"/>
      <c r="G958" s="6"/>
      <c r="H958" s="6"/>
      <c r="I958" s="6"/>
      <c r="J958" s="6"/>
      <c r="K958" s="6"/>
      <c r="L958" s="6"/>
      <c r="M958" s="6"/>
      <c r="N958" s="6"/>
      <c r="O958" s="6"/>
      <c r="P958" s="6"/>
      <c r="Q958" s="6"/>
      <c r="R958" s="6"/>
      <c r="S958" s="6"/>
      <c r="T958" s="6"/>
      <c r="U958" s="6"/>
      <c r="V958" s="6"/>
      <c r="W958" s="6"/>
      <c r="X958" s="6"/>
      <c r="Y958" s="6"/>
      <c r="Z958" s="6"/>
      <c r="AA958" s="6"/>
    </row>
    <row r="959" spans="1:27" ht="14.25">
      <c r="A959" s="6"/>
      <c r="B959" s="6"/>
      <c r="C959" s="6"/>
      <c r="D959" s="6"/>
      <c r="E959" s="6"/>
      <c r="F959" s="6"/>
      <c r="G959" s="6"/>
      <c r="H959" s="6"/>
      <c r="I959" s="6"/>
      <c r="J959" s="6"/>
      <c r="K959" s="6"/>
      <c r="L959" s="6"/>
      <c r="M959" s="6"/>
      <c r="N959" s="6"/>
      <c r="O959" s="6"/>
      <c r="P959" s="6"/>
      <c r="Q959" s="6"/>
      <c r="R959" s="6"/>
      <c r="S959" s="6"/>
      <c r="T959" s="6"/>
      <c r="U959" s="6"/>
      <c r="V959" s="6"/>
      <c r="W959" s="6"/>
      <c r="X959" s="6"/>
      <c r="Y959" s="6"/>
      <c r="Z959" s="6"/>
      <c r="AA959" s="6"/>
    </row>
    <row r="960" spans="1:27" ht="14.25">
      <c r="A960" s="6"/>
      <c r="B960" s="6"/>
      <c r="C960" s="6"/>
      <c r="D960" s="6"/>
      <c r="E960" s="6"/>
      <c r="F960" s="6"/>
      <c r="G960" s="6"/>
      <c r="H960" s="6"/>
      <c r="I960" s="6"/>
      <c r="J960" s="6"/>
      <c r="K960" s="6"/>
      <c r="L960" s="6"/>
      <c r="M960" s="6"/>
      <c r="N960" s="6"/>
      <c r="O960" s="6"/>
      <c r="P960" s="6"/>
      <c r="Q960" s="6"/>
      <c r="R960" s="6"/>
      <c r="S960" s="6"/>
      <c r="T960" s="6"/>
      <c r="U960" s="6"/>
      <c r="V960" s="6"/>
      <c r="W960" s="6"/>
      <c r="X960" s="6"/>
      <c r="Y960" s="6"/>
      <c r="Z960" s="6"/>
      <c r="AA960" s="6"/>
    </row>
    <row r="961" spans="1:27" ht="14.25">
      <c r="A961" s="6"/>
      <c r="B961" s="6"/>
      <c r="C961" s="6"/>
      <c r="D961" s="6"/>
      <c r="E961" s="6"/>
      <c r="F961" s="6"/>
      <c r="G961" s="6"/>
      <c r="H961" s="6"/>
      <c r="I961" s="6"/>
      <c r="J961" s="6"/>
      <c r="K961" s="6"/>
      <c r="L961" s="6"/>
      <c r="M961" s="6"/>
      <c r="N961" s="6"/>
      <c r="O961" s="6"/>
      <c r="P961" s="6"/>
      <c r="Q961" s="6"/>
      <c r="R961" s="6"/>
      <c r="S961" s="6"/>
      <c r="T961" s="6"/>
      <c r="U961" s="6"/>
      <c r="V961" s="6"/>
      <c r="W961" s="6"/>
      <c r="X961" s="6"/>
      <c r="Y961" s="6"/>
      <c r="Z961" s="6"/>
      <c r="AA961" s="6"/>
    </row>
    <row r="962" spans="1:27" ht="14.25">
      <c r="A962" s="6"/>
      <c r="B962" s="6"/>
      <c r="C962" s="6"/>
      <c r="D962" s="6"/>
      <c r="E962" s="6"/>
      <c r="F962" s="6"/>
      <c r="G962" s="6"/>
      <c r="H962" s="6"/>
      <c r="I962" s="6"/>
      <c r="J962" s="6"/>
      <c r="K962" s="6"/>
      <c r="L962" s="6"/>
      <c r="M962" s="6"/>
      <c r="N962" s="6"/>
      <c r="O962" s="6"/>
      <c r="P962" s="6"/>
      <c r="Q962" s="6"/>
      <c r="R962" s="6"/>
      <c r="S962" s="6"/>
      <c r="T962" s="6"/>
      <c r="U962" s="6"/>
      <c r="V962" s="6"/>
      <c r="W962" s="6"/>
      <c r="X962" s="6"/>
      <c r="Y962" s="6"/>
      <c r="Z962" s="6"/>
      <c r="AA962" s="6"/>
    </row>
    <row r="963" spans="1:27" ht="14.25">
      <c r="A963" s="6"/>
      <c r="B963" s="6"/>
      <c r="C963" s="6"/>
      <c r="D963" s="6"/>
      <c r="E963" s="6"/>
      <c r="F963" s="6"/>
      <c r="G963" s="6"/>
      <c r="H963" s="6"/>
      <c r="I963" s="6"/>
      <c r="J963" s="6"/>
      <c r="K963" s="6"/>
      <c r="L963" s="6"/>
      <c r="M963" s="6"/>
      <c r="N963" s="6"/>
      <c r="O963" s="6"/>
      <c r="P963" s="6"/>
      <c r="Q963" s="6"/>
      <c r="R963" s="6"/>
      <c r="S963" s="6"/>
      <c r="T963" s="6"/>
      <c r="U963" s="6"/>
      <c r="V963" s="6"/>
      <c r="W963" s="6"/>
      <c r="X963" s="6"/>
      <c r="Y963" s="6"/>
      <c r="Z963" s="6"/>
      <c r="AA963" s="6"/>
    </row>
    <row r="964" spans="1:27" ht="14.25">
      <c r="A964" s="6"/>
      <c r="B964" s="6"/>
      <c r="C964" s="6"/>
      <c r="D964" s="6"/>
      <c r="E964" s="6"/>
      <c r="F964" s="6"/>
      <c r="G964" s="6"/>
      <c r="H964" s="6"/>
      <c r="I964" s="6"/>
      <c r="J964" s="6"/>
      <c r="K964" s="6"/>
      <c r="L964" s="6"/>
      <c r="M964" s="6"/>
      <c r="N964" s="6"/>
      <c r="O964" s="6"/>
      <c r="P964" s="6"/>
      <c r="Q964" s="6"/>
      <c r="R964" s="6"/>
      <c r="S964" s="6"/>
      <c r="T964" s="6"/>
      <c r="U964" s="6"/>
      <c r="V964" s="6"/>
      <c r="W964" s="6"/>
      <c r="X964" s="6"/>
      <c r="Y964" s="6"/>
      <c r="Z964" s="6"/>
      <c r="AA964" s="6"/>
    </row>
    <row r="965" spans="1:27" ht="14.25">
      <c r="A965" s="6"/>
      <c r="B965" s="6"/>
      <c r="C965" s="6"/>
      <c r="D965" s="6"/>
      <c r="E965" s="6"/>
      <c r="F965" s="6"/>
      <c r="G965" s="6"/>
      <c r="H965" s="6"/>
      <c r="I965" s="6"/>
      <c r="J965" s="6"/>
      <c r="K965" s="6"/>
      <c r="L965" s="6"/>
      <c r="M965" s="6"/>
      <c r="N965" s="6"/>
      <c r="O965" s="6"/>
      <c r="P965" s="6"/>
      <c r="Q965" s="6"/>
      <c r="R965" s="6"/>
      <c r="S965" s="6"/>
      <c r="T965" s="6"/>
      <c r="U965" s="6"/>
      <c r="V965" s="6"/>
      <c r="W965" s="6"/>
      <c r="X965" s="6"/>
      <c r="Y965" s="6"/>
      <c r="Z965" s="6"/>
      <c r="AA965" s="6"/>
    </row>
    <row r="966" spans="1:27" ht="14.25">
      <c r="A966" s="6"/>
      <c r="B966" s="6"/>
      <c r="C966" s="6"/>
      <c r="D966" s="6"/>
      <c r="E966" s="6"/>
      <c r="F966" s="6"/>
      <c r="G966" s="6"/>
      <c r="H966" s="6"/>
      <c r="I966" s="6"/>
      <c r="J966" s="6"/>
      <c r="K966" s="6"/>
      <c r="L966" s="6"/>
      <c r="M966" s="6"/>
      <c r="N966" s="6"/>
      <c r="O966" s="6"/>
      <c r="P966" s="6"/>
      <c r="Q966" s="6"/>
      <c r="R966" s="6"/>
      <c r="S966" s="6"/>
      <c r="T966" s="6"/>
      <c r="U966" s="6"/>
      <c r="V966" s="6"/>
      <c r="W966" s="6"/>
      <c r="X966" s="6"/>
      <c r="Y966" s="6"/>
      <c r="Z966" s="6"/>
      <c r="AA966" s="6"/>
    </row>
    <row r="967" spans="1:27" ht="14.25">
      <c r="A967" s="6"/>
      <c r="B967" s="6"/>
      <c r="C967" s="6"/>
      <c r="D967" s="6"/>
      <c r="E967" s="6"/>
      <c r="F967" s="6"/>
      <c r="G967" s="6"/>
      <c r="H967" s="6"/>
      <c r="I967" s="6"/>
      <c r="J967" s="6"/>
      <c r="K967" s="6"/>
      <c r="L967" s="6"/>
      <c r="M967" s="6"/>
      <c r="N967" s="6"/>
      <c r="O967" s="6"/>
      <c r="P967" s="6"/>
      <c r="Q967" s="6"/>
      <c r="R967" s="6"/>
      <c r="S967" s="6"/>
      <c r="T967" s="6"/>
      <c r="U967" s="6"/>
      <c r="V967" s="6"/>
      <c r="W967" s="6"/>
      <c r="X967" s="6"/>
      <c r="Y967" s="6"/>
      <c r="Z967" s="6"/>
      <c r="AA967" s="6"/>
    </row>
    <row r="968" spans="1:27" ht="14.25">
      <c r="A968" s="6"/>
      <c r="B968" s="6"/>
      <c r="C968" s="6"/>
      <c r="D968" s="6"/>
      <c r="E968" s="6"/>
      <c r="F968" s="6"/>
      <c r="G968" s="6"/>
      <c r="H968" s="6"/>
      <c r="I968" s="6"/>
      <c r="J968" s="6"/>
      <c r="K968" s="6"/>
      <c r="L968" s="6"/>
      <c r="M968" s="6"/>
      <c r="N968" s="6"/>
      <c r="O968" s="6"/>
      <c r="P968" s="6"/>
      <c r="Q968" s="6"/>
      <c r="R968" s="6"/>
      <c r="S968" s="6"/>
      <c r="T968" s="6"/>
      <c r="U968" s="6"/>
      <c r="V968" s="6"/>
      <c r="W968" s="6"/>
      <c r="X968" s="6"/>
      <c r="Y968" s="6"/>
      <c r="Z968" s="6"/>
      <c r="AA968" s="6"/>
    </row>
    <row r="969" spans="1:27" ht="14.25">
      <c r="A969" s="6"/>
      <c r="B969" s="6"/>
      <c r="C969" s="6"/>
      <c r="D969" s="6"/>
      <c r="E969" s="6"/>
      <c r="F969" s="6"/>
      <c r="G969" s="6"/>
      <c r="H969" s="6"/>
      <c r="I969" s="6"/>
      <c r="J969" s="6"/>
      <c r="K969" s="6"/>
      <c r="L969" s="6"/>
      <c r="M969" s="6"/>
      <c r="N969" s="6"/>
      <c r="O969" s="6"/>
      <c r="P969" s="6"/>
      <c r="Q969" s="6"/>
      <c r="R969" s="6"/>
      <c r="S969" s="6"/>
      <c r="T969" s="6"/>
      <c r="U969" s="6"/>
      <c r="V969" s="6"/>
      <c r="W969" s="6"/>
      <c r="X969" s="6"/>
      <c r="Y969" s="6"/>
      <c r="Z969" s="6"/>
      <c r="AA969" s="6"/>
    </row>
    <row r="970" spans="1:27" ht="14.25">
      <c r="A970" s="6"/>
      <c r="B970" s="6"/>
      <c r="C970" s="6"/>
      <c r="D970" s="6"/>
      <c r="E970" s="6"/>
      <c r="F970" s="6"/>
      <c r="G970" s="6"/>
      <c r="H970" s="6"/>
      <c r="I970" s="6"/>
      <c r="J970" s="6"/>
      <c r="K970" s="6"/>
      <c r="L970" s="6"/>
      <c r="M970" s="6"/>
      <c r="N970" s="6"/>
      <c r="O970" s="6"/>
      <c r="P970" s="6"/>
      <c r="Q970" s="6"/>
      <c r="R970" s="6"/>
      <c r="S970" s="6"/>
      <c r="T970" s="6"/>
      <c r="U970" s="6"/>
      <c r="V970" s="6"/>
      <c r="W970" s="6"/>
      <c r="X970" s="6"/>
      <c r="Y970" s="6"/>
      <c r="Z970" s="6"/>
      <c r="AA970" s="6"/>
    </row>
    <row r="971" spans="1:27" ht="14.25">
      <c r="A971" s="6"/>
      <c r="B971" s="6"/>
      <c r="C971" s="6"/>
      <c r="D971" s="6"/>
      <c r="E971" s="6"/>
      <c r="F971" s="6"/>
      <c r="G971" s="6"/>
      <c r="H971" s="6"/>
      <c r="I971" s="6"/>
      <c r="J971" s="6"/>
      <c r="K971" s="6"/>
      <c r="L971" s="6"/>
      <c r="M971" s="6"/>
      <c r="N971" s="6"/>
      <c r="O971" s="6"/>
      <c r="P971" s="6"/>
      <c r="Q971" s="6"/>
      <c r="R971" s="6"/>
      <c r="S971" s="6"/>
      <c r="T971" s="6"/>
      <c r="U971" s="6"/>
      <c r="V971" s="6"/>
      <c r="W971" s="6"/>
      <c r="X971" s="6"/>
      <c r="Y971" s="6"/>
      <c r="Z971" s="6"/>
      <c r="AA971" s="6"/>
    </row>
    <row r="972" spans="1:27" ht="14.25">
      <c r="A972" s="6"/>
      <c r="B972" s="6"/>
      <c r="C972" s="6"/>
      <c r="D972" s="6"/>
      <c r="E972" s="6"/>
      <c r="F972" s="6"/>
      <c r="G972" s="6"/>
      <c r="H972" s="6"/>
      <c r="I972" s="6"/>
      <c r="J972" s="6"/>
      <c r="K972" s="6"/>
      <c r="L972" s="6"/>
      <c r="M972" s="6"/>
      <c r="N972" s="6"/>
      <c r="O972" s="6"/>
      <c r="P972" s="6"/>
      <c r="Q972" s="6"/>
      <c r="R972" s="6"/>
      <c r="S972" s="6"/>
      <c r="T972" s="6"/>
      <c r="U972" s="6"/>
      <c r="V972" s="6"/>
      <c r="W972" s="6"/>
      <c r="X972" s="6"/>
      <c r="Y972" s="6"/>
      <c r="Z972" s="6"/>
      <c r="AA972" s="6"/>
    </row>
    <row r="973" spans="1:27" ht="14.25">
      <c r="A973" s="6"/>
      <c r="B973" s="6"/>
      <c r="C973" s="6"/>
      <c r="D973" s="6"/>
      <c r="E973" s="6"/>
      <c r="F973" s="6"/>
      <c r="G973" s="6"/>
      <c r="H973" s="6"/>
      <c r="I973" s="6"/>
      <c r="J973" s="6"/>
      <c r="K973" s="6"/>
      <c r="L973" s="6"/>
      <c r="M973" s="6"/>
      <c r="N973" s="6"/>
      <c r="O973" s="6"/>
      <c r="P973" s="6"/>
      <c r="Q973" s="6"/>
      <c r="R973" s="6"/>
      <c r="S973" s="6"/>
      <c r="T973" s="6"/>
      <c r="U973" s="6"/>
      <c r="V973" s="6"/>
      <c r="W973" s="6"/>
      <c r="X973" s="6"/>
      <c r="Y973" s="6"/>
      <c r="Z973" s="6"/>
      <c r="AA973" s="6"/>
    </row>
    <row r="974" spans="1:27" ht="14.25">
      <c r="A974" s="6"/>
      <c r="B974" s="6"/>
      <c r="C974" s="6"/>
      <c r="D974" s="6"/>
      <c r="E974" s="6"/>
      <c r="F974" s="6"/>
      <c r="G974" s="6"/>
      <c r="H974" s="6"/>
      <c r="I974" s="6"/>
      <c r="J974" s="6"/>
      <c r="K974" s="6"/>
      <c r="L974" s="6"/>
      <c r="M974" s="6"/>
      <c r="N974" s="6"/>
      <c r="O974" s="6"/>
      <c r="P974" s="6"/>
      <c r="Q974" s="6"/>
      <c r="R974" s="6"/>
      <c r="S974" s="6"/>
      <c r="T974" s="6"/>
      <c r="U974" s="6"/>
      <c r="V974" s="6"/>
      <c r="W974" s="6"/>
      <c r="X974" s="6"/>
      <c r="Y974" s="6"/>
      <c r="Z974" s="6"/>
      <c r="AA974" s="6"/>
    </row>
    <row r="975" spans="1:27" ht="14.25">
      <c r="A975" s="6"/>
      <c r="B975" s="6"/>
      <c r="C975" s="6"/>
      <c r="D975" s="6"/>
      <c r="E975" s="6"/>
      <c r="F975" s="6"/>
      <c r="G975" s="6"/>
      <c r="H975" s="6"/>
      <c r="I975" s="6"/>
      <c r="J975" s="6"/>
      <c r="K975" s="6"/>
      <c r="L975" s="6"/>
      <c r="M975" s="6"/>
      <c r="N975" s="6"/>
      <c r="O975" s="6"/>
      <c r="P975" s="6"/>
      <c r="Q975" s="6"/>
      <c r="R975" s="6"/>
      <c r="S975" s="6"/>
      <c r="T975" s="6"/>
      <c r="U975" s="6"/>
      <c r="V975" s="6"/>
      <c r="W975" s="6"/>
      <c r="X975" s="6"/>
      <c r="Y975" s="6"/>
      <c r="Z975" s="6"/>
      <c r="AA975" s="6"/>
    </row>
    <row r="976" spans="1:27" ht="14.25">
      <c r="A976" s="6"/>
      <c r="B976" s="6"/>
      <c r="C976" s="6"/>
      <c r="D976" s="6"/>
      <c r="E976" s="6"/>
      <c r="F976" s="6"/>
      <c r="G976" s="6"/>
      <c r="H976" s="6"/>
      <c r="I976" s="6"/>
      <c r="J976" s="6"/>
      <c r="K976" s="6"/>
      <c r="L976" s="6"/>
      <c r="M976" s="6"/>
      <c r="N976" s="6"/>
      <c r="O976" s="6"/>
      <c r="P976" s="6"/>
      <c r="Q976" s="6"/>
      <c r="R976" s="6"/>
      <c r="S976" s="6"/>
      <c r="T976" s="6"/>
      <c r="U976" s="6"/>
      <c r="V976" s="6"/>
      <c r="W976" s="6"/>
      <c r="X976" s="6"/>
      <c r="Y976" s="6"/>
      <c r="Z976" s="6"/>
      <c r="AA976" s="6"/>
    </row>
    <row r="977" spans="1:27" ht="14.25">
      <c r="A977" s="6"/>
      <c r="B977" s="6"/>
      <c r="C977" s="6"/>
      <c r="D977" s="6"/>
      <c r="E977" s="6"/>
      <c r="F977" s="6"/>
      <c r="G977" s="6"/>
      <c r="H977" s="6"/>
      <c r="I977" s="6"/>
      <c r="J977" s="6"/>
      <c r="K977" s="6"/>
      <c r="L977" s="6"/>
      <c r="M977" s="6"/>
      <c r="N977" s="6"/>
      <c r="O977" s="6"/>
      <c r="P977" s="6"/>
      <c r="Q977" s="6"/>
      <c r="R977" s="6"/>
      <c r="S977" s="6"/>
      <c r="T977" s="6"/>
      <c r="U977" s="6"/>
      <c r="V977" s="6"/>
      <c r="W977" s="6"/>
      <c r="X977" s="6"/>
      <c r="Y977" s="6"/>
      <c r="Z977" s="6"/>
      <c r="AA977" s="6"/>
    </row>
    <row r="978" spans="1:27" ht="14.25">
      <c r="A978" s="6"/>
      <c r="B978" s="6"/>
      <c r="C978" s="6"/>
      <c r="D978" s="6"/>
      <c r="E978" s="6"/>
      <c r="F978" s="6"/>
      <c r="G978" s="6"/>
      <c r="H978" s="6"/>
      <c r="I978" s="6"/>
      <c r="J978" s="6"/>
      <c r="K978" s="6"/>
      <c r="L978" s="6"/>
      <c r="M978" s="6"/>
      <c r="N978" s="6"/>
      <c r="O978" s="6"/>
      <c r="P978" s="6"/>
      <c r="Q978" s="6"/>
      <c r="R978" s="6"/>
      <c r="S978" s="6"/>
      <c r="T978" s="6"/>
      <c r="U978" s="6"/>
      <c r="V978" s="6"/>
      <c r="W978" s="6"/>
      <c r="X978" s="6"/>
      <c r="Y978" s="6"/>
      <c r="Z978" s="6"/>
      <c r="AA978" s="6"/>
    </row>
    <row r="979" spans="1:27" ht="14.25">
      <c r="A979" s="6"/>
      <c r="B979" s="6"/>
      <c r="C979" s="6"/>
      <c r="D979" s="6"/>
      <c r="E979" s="6"/>
      <c r="F979" s="6"/>
      <c r="G979" s="6"/>
      <c r="H979" s="6"/>
      <c r="I979" s="6"/>
      <c r="J979" s="6"/>
      <c r="K979" s="6"/>
      <c r="L979" s="6"/>
      <c r="M979" s="6"/>
      <c r="N979" s="6"/>
      <c r="O979" s="6"/>
      <c r="P979" s="6"/>
      <c r="Q979" s="6"/>
      <c r="R979" s="6"/>
      <c r="S979" s="6"/>
      <c r="T979" s="6"/>
      <c r="U979" s="6"/>
      <c r="V979" s="6"/>
      <c r="W979" s="6"/>
      <c r="X979" s="6"/>
      <c r="Y979" s="6"/>
      <c r="Z979" s="6"/>
      <c r="AA979" s="6"/>
    </row>
    <row r="980" spans="1:27" ht="14.25">
      <c r="A980" s="6"/>
      <c r="B980" s="6"/>
      <c r="C980" s="6"/>
      <c r="D980" s="6"/>
      <c r="E980" s="6"/>
      <c r="F980" s="6"/>
      <c r="G980" s="6"/>
      <c r="H980" s="6"/>
      <c r="I980" s="6"/>
      <c r="J980" s="6"/>
      <c r="K980" s="6"/>
      <c r="L980" s="6"/>
      <c r="M980" s="6"/>
      <c r="N980" s="6"/>
      <c r="O980" s="6"/>
      <c r="P980" s="6"/>
      <c r="Q980" s="6"/>
      <c r="R980" s="6"/>
      <c r="S980" s="6"/>
      <c r="T980" s="6"/>
      <c r="U980" s="6"/>
      <c r="V980" s="6"/>
      <c r="W980" s="6"/>
      <c r="X980" s="6"/>
      <c r="Y980" s="6"/>
      <c r="Z980" s="6"/>
      <c r="AA980" s="6"/>
    </row>
    <row r="981" spans="1:27" ht="14.25">
      <c r="A981" s="6"/>
      <c r="B981" s="6"/>
      <c r="C981" s="6"/>
      <c r="D981" s="6"/>
      <c r="E981" s="6"/>
      <c r="F981" s="6"/>
      <c r="G981" s="6"/>
      <c r="H981" s="6"/>
      <c r="I981" s="6"/>
      <c r="J981" s="6"/>
      <c r="K981" s="6"/>
      <c r="L981" s="6"/>
      <c r="M981" s="6"/>
      <c r="N981" s="6"/>
      <c r="O981" s="6"/>
      <c r="P981" s="6"/>
      <c r="Q981" s="6"/>
      <c r="R981" s="6"/>
      <c r="S981" s="6"/>
      <c r="T981" s="6"/>
      <c r="U981" s="6"/>
      <c r="V981" s="6"/>
      <c r="W981" s="6"/>
      <c r="X981" s="6"/>
      <c r="Y981" s="6"/>
      <c r="Z981" s="6"/>
      <c r="AA981" s="6"/>
    </row>
    <row r="982" spans="1:27" ht="14.25">
      <c r="A982" s="6"/>
      <c r="B982" s="6"/>
      <c r="C982" s="6"/>
      <c r="D982" s="6"/>
      <c r="E982" s="6"/>
      <c r="F982" s="6"/>
      <c r="G982" s="6"/>
      <c r="H982" s="6"/>
      <c r="I982" s="6"/>
      <c r="J982" s="6"/>
      <c r="K982" s="6"/>
      <c r="L982" s="6"/>
      <c r="M982" s="6"/>
      <c r="N982" s="6"/>
      <c r="O982" s="6"/>
      <c r="P982" s="6"/>
      <c r="Q982" s="6"/>
      <c r="R982" s="6"/>
      <c r="S982" s="6"/>
      <c r="T982" s="6"/>
      <c r="U982" s="6"/>
      <c r="V982" s="6"/>
      <c r="W982" s="6"/>
      <c r="X982" s="6"/>
      <c r="Y982" s="6"/>
      <c r="Z982" s="6"/>
      <c r="AA982" s="6"/>
    </row>
    <row r="983" spans="1:27" ht="14.25">
      <c r="A983" s="6"/>
      <c r="B983" s="6"/>
      <c r="C983" s="6"/>
      <c r="D983" s="6"/>
      <c r="E983" s="6"/>
      <c r="F983" s="6"/>
      <c r="G983" s="6"/>
      <c r="H983" s="6"/>
      <c r="I983" s="6"/>
      <c r="J983" s="6"/>
      <c r="K983" s="6"/>
      <c r="L983" s="6"/>
      <c r="M983" s="6"/>
      <c r="N983" s="6"/>
      <c r="O983" s="6"/>
      <c r="P983" s="6"/>
      <c r="Q983" s="6"/>
      <c r="R983" s="6"/>
      <c r="S983" s="6"/>
      <c r="T983" s="6"/>
      <c r="U983" s="6"/>
      <c r="V983" s="6"/>
      <c r="W983" s="6"/>
      <c r="X983" s="6"/>
      <c r="Y983" s="6"/>
      <c r="Z983" s="6"/>
      <c r="AA983" s="6"/>
    </row>
    <row r="984" spans="1:27" ht="14.25">
      <c r="A984" s="6"/>
      <c r="B984" s="6"/>
      <c r="C984" s="6"/>
      <c r="D984" s="6"/>
      <c r="E984" s="6"/>
      <c r="F984" s="6"/>
      <c r="G984" s="6"/>
      <c r="H984" s="6"/>
      <c r="I984" s="6"/>
      <c r="J984" s="6"/>
      <c r="K984" s="6"/>
      <c r="L984" s="6"/>
      <c r="M984" s="6"/>
      <c r="N984" s="6"/>
      <c r="O984" s="6"/>
      <c r="P984" s="6"/>
      <c r="Q984" s="6"/>
      <c r="R984" s="6"/>
      <c r="S984" s="6"/>
      <c r="T984" s="6"/>
      <c r="U984" s="6"/>
      <c r="V984" s="6"/>
      <c r="W984" s="6"/>
      <c r="X984" s="6"/>
      <c r="Y984" s="6"/>
      <c r="Z984" s="6"/>
      <c r="AA984" s="6"/>
    </row>
    <row r="985" spans="1:27" ht="14.25">
      <c r="A985" s="6"/>
      <c r="B985" s="6"/>
      <c r="C985" s="6"/>
      <c r="D985" s="6"/>
      <c r="E985" s="6"/>
      <c r="F985" s="6"/>
      <c r="G985" s="6"/>
      <c r="H985" s="6"/>
      <c r="I985" s="6"/>
      <c r="J985" s="6"/>
      <c r="K985" s="6"/>
      <c r="L985" s="6"/>
      <c r="M985" s="6"/>
      <c r="N985" s="6"/>
      <c r="O985" s="6"/>
      <c r="P985" s="6"/>
      <c r="Q985" s="6"/>
      <c r="R985" s="6"/>
      <c r="S985" s="6"/>
      <c r="T985" s="6"/>
      <c r="U985" s="6"/>
      <c r="V985" s="6"/>
      <c r="W985" s="6"/>
      <c r="X985" s="6"/>
      <c r="Y985" s="6"/>
      <c r="Z985" s="6"/>
      <c r="AA985" s="6"/>
    </row>
    <row r="986" spans="1:27" ht="14.25">
      <c r="A986" s="6"/>
      <c r="B986" s="6"/>
      <c r="C986" s="6"/>
      <c r="D986" s="6"/>
      <c r="E986" s="6"/>
      <c r="F986" s="6"/>
      <c r="G986" s="6"/>
      <c r="H986" s="6"/>
      <c r="I986" s="6"/>
      <c r="J986" s="6"/>
      <c r="K986" s="6"/>
      <c r="L986" s="6"/>
      <c r="M986" s="6"/>
      <c r="N986" s="6"/>
      <c r="O986" s="6"/>
      <c r="P986" s="6"/>
      <c r="Q986" s="6"/>
      <c r="R986" s="6"/>
      <c r="S986" s="6"/>
      <c r="T986" s="6"/>
      <c r="U986" s="6"/>
      <c r="V986" s="6"/>
      <c r="W986" s="6"/>
      <c r="X986" s="6"/>
      <c r="Y986" s="6"/>
      <c r="Z986" s="6"/>
      <c r="AA986" s="6"/>
    </row>
    <row r="987" spans="1:27" ht="14.25">
      <c r="A987" s="6"/>
      <c r="B987" s="6"/>
      <c r="C987" s="6"/>
      <c r="D987" s="6"/>
      <c r="E987" s="6"/>
      <c r="F987" s="6"/>
      <c r="G987" s="6"/>
      <c r="H987" s="6"/>
      <c r="I987" s="6"/>
      <c r="J987" s="6"/>
      <c r="K987" s="6"/>
      <c r="L987" s="6"/>
      <c r="M987" s="6"/>
      <c r="N987" s="6"/>
      <c r="O987" s="6"/>
      <c r="P987" s="6"/>
      <c r="Q987" s="6"/>
      <c r="R987" s="6"/>
      <c r="S987" s="6"/>
      <c r="T987" s="6"/>
      <c r="U987" s="6"/>
      <c r="V987" s="6"/>
      <c r="W987" s="6"/>
      <c r="X987" s="6"/>
      <c r="Y987" s="6"/>
      <c r="Z987" s="6"/>
      <c r="AA987" s="6"/>
    </row>
    <row r="988" spans="1:27" ht="14.25">
      <c r="A988" s="6"/>
      <c r="B988" s="6"/>
      <c r="C988" s="6"/>
      <c r="D988" s="6"/>
      <c r="E988" s="6"/>
      <c r="F988" s="6"/>
      <c r="G988" s="6"/>
      <c r="H988" s="6"/>
      <c r="I988" s="6"/>
      <c r="J988" s="6"/>
      <c r="K988" s="6"/>
      <c r="L988" s="6"/>
      <c r="M988" s="6"/>
      <c r="N988" s="6"/>
      <c r="O988" s="6"/>
      <c r="P988" s="6"/>
      <c r="Q988" s="6"/>
      <c r="R988" s="6"/>
      <c r="S988" s="6"/>
      <c r="T988" s="6"/>
      <c r="U988" s="6"/>
      <c r="V988" s="6"/>
      <c r="W988" s="6"/>
      <c r="X988" s="6"/>
      <c r="Y988" s="6"/>
      <c r="Z988" s="6"/>
      <c r="AA988" s="6"/>
    </row>
    <row r="989" spans="1:27" ht="14.25">
      <c r="A989" s="6"/>
      <c r="B989" s="6"/>
      <c r="C989" s="6"/>
      <c r="D989" s="6"/>
      <c r="E989" s="6"/>
      <c r="F989" s="6"/>
      <c r="G989" s="6"/>
      <c r="H989" s="6"/>
      <c r="I989" s="6"/>
      <c r="J989" s="6"/>
      <c r="K989" s="6"/>
      <c r="L989" s="6"/>
      <c r="M989" s="6"/>
      <c r="N989" s="6"/>
      <c r="O989" s="6"/>
      <c r="P989" s="6"/>
      <c r="Q989" s="6"/>
      <c r="R989" s="6"/>
      <c r="S989" s="6"/>
      <c r="T989" s="6"/>
      <c r="U989" s="6"/>
      <c r="V989" s="6"/>
      <c r="W989" s="6"/>
      <c r="X989" s="6"/>
      <c r="Y989" s="6"/>
      <c r="Z989" s="6"/>
      <c r="AA989" s="6"/>
    </row>
    <row r="990" spans="1:27" ht="14.25">
      <c r="A990" s="6"/>
      <c r="B990" s="6"/>
      <c r="C990" s="6"/>
      <c r="D990" s="6"/>
      <c r="E990" s="6"/>
      <c r="F990" s="6"/>
      <c r="G990" s="6"/>
      <c r="H990" s="6"/>
      <c r="I990" s="6"/>
      <c r="J990" s="6"/>
      <c r="K990" s="6"/>
      <c r="L990" s="6"/>
      <c r="M990" s="6"/>
      <c r="N990" s="6"/>
      <c r="O990" s="6"/>
      <c r="P990" s="6"/>
      <c r="Q990" s="6"/>
      <c r="R990" s="6"/>
      <c r="S990" s="6"/>
      <c r="T990" s="6"/>
      <c r="U990" s="6"/>
      <c r="V990" s="6"/>
      <c r="W990" s="6"/>
      <c r="X990" s="6"/>
      <c r="Y990" s="6"/>
      <c r="Z990" s="6"/>
      <c r="AA990" s="6"/>
    </row>
    <row r="991" spans="1:27" ht="14.25">
      <c r="A991" s="6"/>
      <c r="B991" s="6"/>
      <c r="C991" s="6"/>
      <c r="D991" s="6"/>
      <c r="E991" s="6"/>
      <c r="F991" s="6"/>
      <c r="G991" s="6"/>
      <c r="H991" s="6"/>
      <c r="I991" s="6"/>
      <c r="J991" s="6"/>
      <c r="K991" s="6"/>
      <c r="L991" s="6"/>
      <c r="M991" s="6"/>
      <c r="N991" s="6"/>
      <c r="O991" s="6"/>
      <c r="P991" s="6"/>
      <c r="Q991" s="6"/>
      <c r="R991" s="6"/>
      <c r="S991" s="6"/>
      <c r="T991" s="6"/>
      <c r="U991" s="6"/>
      <c r="V991" s="6"/>
      <c r="W991" s="6"/>
      <c r="X991" s="6"/>
      <c r="Y991" s="6"/>
      <c r="Z991" s="6"/>
      <c r="AA991" s="6"/>
    </row>
    <row r="992" spans="1:27" ht="14.25">
      <c r="A992" s="6"/>
      <c r="B992" s="6"/>
      <c r="C992" s="6"/>
      <c r="D992" s="6"/>
      <c r="E992" s="6"/>
      <c r="F992" s="6"/>
      <c r="G992" s="6"/>
      <c r="H992" s="6"/>
      <c r="I992" s="6"/>
      <c r="J992" s="6"/>
      <c r="K992" s="6"/>
      <c r="L992" s="6"/>
      <c r="M992" s="6"/>
      <c r="N992" s="6"/>
      <c r="O992" s="6"/>
      <c r="P992" s="6"/>
      <c r="Q992" s="6"/>
      <c r="R992" s="6"/>
      <c r="S992" s="6"/>
      <c r="T992" s="6"/>
      <c r="U992" s="6"/>
      <c r="V992" s="6"/>
      <c r="W992" s="6"/>
      <c r="X992" s="6"/>
      <c r="Y992" s="6"/>
      <c r="Z992" s="6"/>
      <c r="AA992" s="6"/>
    </row>
    <row r="993" spans="1:27" ht="14.25">
      <c r="A993" s="6"/>
      <c r="B993" s="6"/>
      <c r="C993" s="6"/>
      <c r="D993" s="6"/>
      <c r="E993" s="6"/>
      <c r="F993" s="6"/>
      <c r="G993" s="6"/>
      <c r="H993" s="6"/>
      <c r="I993" s="6"/>
      <c r="J993" s="6"/>
      <c r="K993" s="6"/>
      <c r="L993" s="6"/>
      <c r="M993" s="6"/>
      <c r="N993" s="6"/>
      <c r="O993" s="6"/>
      <c r="P993" s="6"/>
      <c r="Q993" s="6"/>
      <c r="R993" s="6"/>
      <c r="S993" s="6"/>
      <c r="T993" s="6"/>
      <c r="U993" s="6"/>
      <c r="V993" s="6"/>
      <c r="W993" s="6"/>
      <c r="X993" s="6"/>
      <c r="Y993" s="6"/>
      <c r="Z993" s="6"/>
      <c r="AA993" s="6"/>
    </row>
    <row r="994" spans="1:27" ht="14.25">
      <c r="A994" s="6"/>
      <c r="B994" s="6"/>
      <c r="C994" s="6"/>
      <c r="D994" s="6"/>
      <c r="E994" s="6"/>
      <c r="F994" s="6"/>
      <c r="G994" s="6"/>
      <c r="H994" s="6"/>
      <c r="I994" s="6"/>
      <c r="J994" s="6"/>
      <c r="K994" s="6"/>
      <c r="L994" s="6"/>
      <c r="M994" s="6"/>
      <c r="N994" s="6"/>
      <c r="O994" s="6"/>
      <c r="P994" s="6"/>
      <c r="Q994" s="6"/>
      <c r="R994" s="6"/>
      <c r="S994" s="6"/>
      <c r="T994" s="6"/>
      <c r="U994" s="6"/>
      <c r="V994" s="6"/>
      <c r="W994" s="6"/>
      <c r="X994" s="6"/>
      <c r="Y994" s="6"/>
      <c r="Z994" s="6"/>
      <c r="AA994" s="6"/>
    </row>
    <row r="995" spans="1:27" ht="14.25">
      <c r="A995" s="6"/>
      <c r="B995" s="6"/>
      <c r="C995" s="6"/>
      <c r="D995" s="6"/>
      <c r="E995" s="6"/>
      <c r="F995" s="6"/>
      <c r="G995" s="6"/>
      <c r="H995" s="6"/>
      <c r="I995" s="6"/>
      <c r="J995" s="6"/>
      <c r="K995" s="6"/>
      <c r="L995" s="6"/>
      <c r="M995" s="6"/>
      <c r="N995" s="6"/>
      <c r="O995" s="6"/>
      <c r="P995" s="6"/>
      <c r="Q995" s="6"/>
      <c r="R995" s="6"/>
      <c r="S995" s="6"/>
      <c r="T995" s="6"/>
      <c r="U995" s="6"/>
      <c r="V995" s="6"/>
      <c r="W995" s="6"/>
      <c r="X995" s="6"/>
      <c r="Y995" s="6"/>
      <c r="Z995" s="6"/>
      <c r="AA995" s="6"/>
    </row>
    <row r="996" spans="1:27" ht="14.25">
      <c r="A996" s="6"/>
      <c r="B996" s="6"/>
      <c r="C996" s="6"/>
      <c r="D996" s="6"/>
      <c r="E996" s="6"/>
      <c r="F996" s="6"/>
      <c r="G996" s="6"/>
      <c r="H996" s="6"/>
      <c r="I996" s="6"/>
      <c r="J996" s="6"/>
      <c r="K996" s="6"/>
      <c r="L996" s="6"/>
      <c r="M996" s="6"/>
      <c r="N996" s="6"/>
      <c r="O996" s="6"/>
      <c r="P996" s="6"/>
      <c r="Q996" s="6"/>
      <c r="R996" s="6"/>
      <c r="S996" s="6"/>
      <c r="T996" s="6"/>
      <c r="U996" s="6"/>
      <c r="V996" s="6"/>
      <c r="W996" s="6"/>
      <c r="X996" s="6"/>
      <c r="Y996" s="6"/>
      <c r="Z996" s="6"/>
      <c r="AA996" s="6"/>
    </row>
    <row r="997" spans="1:27" ht="14.25">
      <c r="A997" s="6"/>
      <c r="B997" s="6"/>
      <c r="C997" s="6"/>
      <c r="D997" s="6"/>
      <c r="E997" s="6"/>
      <c r="F997" s="6"/>
      <c r="G997" s="6"/>
      <c r="H997" s="6"/>
      <c r="I997" s="6"/>
      <c r="J997" s="6"/>
      <c r="K997" s="6"/>
      <c r="L997" s="6"/>
      <c r="M997" s="6"/>
      <c r="N997" s="6"/>
      <c r="O997" s="6"/>
      <c r="P997" s="6"/>
      <c r="Q997" s="6"/>
      <c r="R997" s="6"/>
      <c r="S997" s="6"/>
      <c r="T997" s="6"/>
      <c r="U997" s="6"/>
      <c r="V997" s="6"/>
      <c r="W997" s="6"/>
      <c r="X997" s="6"/>
      <c r="Y997" s="6"/>
      <c r="Z997" s="6"/>
      <c r="AA997" s="6"/>
    </row>
    <row r="998" spans="1:27" ht="14.25">
      <c r="A998" s="6"/>
      <c r="B998" s="6"/>
      <c r="C998" s="6"/>
      <c r="D998" s="6"/>
      <c r="E998" s="6"/>
      <c r="F998" s="6"/>
      <c r="G998" s="6"/>
      <c r="H998" s="6"/>
      <c r="I998" s="6"/>
      <c r="J998" s="6"/>
      <c r="K998" s="6"/>
      <c r="L998" s="6"/>
      <c r="M998" s="6"/>
      <c r="N998" s="6"/>
      <c r="O998" s="6"/>
      <c r="P998" s="6"/>
      <c r="Q998" s="6"/>
      <c r="R998" s="6"/>
      <c r="S998" s="6"/>
      <c r="T998" s="6"/>
      <c r="U998" s="6"/>
      <c r="V998" s="6"/>
      <c r="W998" s="6"/>
      <c r="X998" s="6"/>
      <c r="Y998" s="6"/>
      <c r="Z998" s="6"/>
      <c r="AA998" s="6"/>
    </row>
    <row r="999" spans="1:27" ht="14.25">
      <c r="A999" s="6"/>
      <c r="B999" s="6"/>
      <c r="C999" s="6"/>
      <c r="D999" s="6"/>
      <c r="E999" s="6"/>
      <c r="F999" s="6"/>
      <c r="G999" s="6"/>
      <c r="H999" s="6"/>
      <c r="I999" s="6"/>
      <c r="J999" s="6"/>
      <c r="K999" s="6"/>
      <c r="L999" s="6"/>
      <c r="M999" s="6"/>
      <c r="N999" s="6"/>
      <c r="O999" s="6"/>
      <c r="P999" s="6"/>
      <c r="Q999" s="6"/>
      <c r="R999" s="6"/>
      <c r="S999" s="6"/>
      <c r="T999" s="6"/>
      <c r="U999" s="6"/>
      <c r="V999" s="6"/>
      <c r="W999" s="6"/>
      <c r="X999" s="6"/>
      <c r="Y999" s="6"/>
      <c r="Z999" s="6"/>
      <c r="AA999" s="6"/>
    </row>
  </sheetData>
  <pageMargins left="0.74803149606299213" right="0.74803149606299213" top="1.3775590551181103" bottom="1.3775590551181103" header="0.98385826771653528" footer="0.98385826771653528"/>
  <pageSetup paperSize="0" fitToWidth="0" fitToHeight="0" orientation="portrait" horizontalDpi="0" verticalDpi="0" copies="0"/>
  <headerFooter alignWithMargins="0"/>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A78CE8E-C944-4BAA-9E0B-C9F9C21A806A}">
  <dimension ref="A1:AB150"/>
  <sheetViews>
    <sheetView tabSelected="1" topLeftCell="A101" workbookViewId="0">
      <selection activeCell="K104" sqref="K104"/>
    </sheetView>
  </sheetViews>
  <sheetFormatPr defaultColWidth="12.140625" defaultRowHeight="15.75" customHeight="1"/>
  <cols>
    <col min="1" max="1" width="8.42578125" style="3" customWidth="1"/>
    <col min="2" max="2" width="21.42578125" style="3" customWidth="1"/>
    <col min="3" max="3" width="24.28515625" style="3" customWidth="1"/>
    <col min="4" max="4" width="23.42578125" style="16" customWidth="1"/>
    <col min="5" max="5" width="75.85546875" style="3" customWidth="1"/>
    <col min="6" max="6" width="99.140625" style="3" customWidth="1"/>
    <col min="7" max="7" width="66" style="3" customWidth="1"/>
    <col min="8" max="8" width="46.28515625" style="3" customWidth="1"/>
    <col min="9" max="9" width="68.85546875" style="3" customWidth="1"/>
    <col min="10" max="10" width="18.7109375" style="3" customWidth="1"/>
    <col min="11" max="11" width="34" style="3" customWidth="1"/>
    <col min="12" max="12" width="15" style="16" customWidth="1"/>
    <col min="13" max="13" width="20.85546875" style="3" customWidth="1"/>
    <col min="14" max="28" width="15" style="3" customWidth="1"/>
    <col min="29" max="1024" width="13.42578125" style="3" customWidth="1"/>
    <col min="1025" max="1025" width="12.140625" style="3" customWidth="1"/>
    <col min="1026" max="16384" width="12.140625" style="3"/>
  </cols>
  <sheetData>
    <row r="1" spans="1:28" s="12" customFormat="1" ht="15">
      <c r="A1" s="8" t="s">
        <v>384</v>
      </c>
      <c r="B1" s="9" t="str">
        <f ca="1">IFERROR(__xludf.dummyfunction("QUERY('Online Form Responses 1'!A:Z, ""SELECT * WHERE A IS NOT NULL"")"),"Timestamp")</f>
        <v>Timestamp</v>
      </c>
      <c r="C1" s="10" t="str">
        <f ca="1">IFERROR(__xludf.dummyfunction("""COMPUTED_VALUE"""),"Q1.  Are you answering as an individual, on behalf of a household, or on behalf of a business?")</f>
        <v>Q1.  Are you answering as an individual, on behalf of a household, or on behalf of a business?</v>
      </c>
      <c r="D1" s="11" t="str">
        <f ca="1">IFERROR(__xludf.dummyfunction("""COMPUTED_VALUE"""),"Q2. On a scale of 0-5, how much do you think Twyford should focus on addressing climate change and its impacts?")</f>
        <v>Q2. On a scale of 0-5, how much do you think Twyford should focus on addressing climate change and its impacts?</v>
      </c>
      <c r="E1" s="10" t="str">
        <f ca="1">IFERROR(__xludf.dummyfunction("""COMPUTED_VALUE"""),"Q3. What are your biggest concerns about the effects of climate change? (Select any/all that apply)")</f>
        <v>Q3. What are your biggest concerns about the effects of climate change? (Select any/all that apply)</v>
      </c>
      <c r="F1" s="10" t="str">
        <f ca="1">IFERROR(__xludf.dummyfunction("""COMPUTED_VALUE"""),"Q4. What steps have you/your household/your business taken to reduce the impact of climate change? (Select any/all that apply)")</f>
        <v>Q4. What steps have you/your household/your business taken to reduce the impact of climate change? (Select any/all that apply)</v>
      </c>
      <c r="G1" s="10" t="str">
        <f ca="1">IFERROR(__xludf.dummyfunction("""COMPUTED_VALUE"""),"Q5. What are the things that hold you back from doing more? (Select any/all that apply)")</f>
        <v>Q5. What are the things that hold you back from doing more? (Select any/all that apply)</v>
      </c>
      <c r="H1" s="10" t="str">
        <f ca="1">IFERROR(__xludf.dummyfunction("""COMPUTED_VALUE"""),"Q6. I'd potentially be interested in... (select any/all that apply)")</f>
        <v>Q6. I'd potentially be interested in... (select any/all that apply)</v>
      </c>
      <c r="I1" s="10" t="str">
        <f ca="1">IFERROR(__xludf.dummyfunction("""COMPUTED_VALUE"""),"Q7. What do you think we could do as a village to have the greatest impact on the climate?")</f>
        <v>Q7. What do you think we could do as a village to have the greatest impact on the climate?</v>
      </c>
      <c r="J1" s="10" t="str">
        <f ca="1">IFERROR(__xludf.dummyfunction("""COMPUTED_VALUE"""),"Q8. We need a great name for our group - any ideas?")</f>
        <v>Q8. We need a great name for our group - any ideas?</v>
      </c>
      <c r="K1" s="10" t="str">
        <f ca="1">IFERROR(__xludf.dummyfunction("""COMPUTED_VALUE"""),"Q9. If there's anything else you want to share with us, please add your comments here:")</f>
        <v>Q9. If there's anything else you want to share with us, please add your comments here:</v>
      </c>
      <c r="L1" s="10" t="str">
        <f ca="1">IFERROR(__xludf.dummyfunction("""COMPUTED_VALUE"""),"Q10.  How old are you?")</f>
        <v>Q10.  How old are you?</v>
      </c>
      <c r="M1" s="10" t="s">
        <v>385</v>
      </c>
      <c r="N1" s="10" t="str">
        <f ca="1">IFERROR(__xludf.dummyfunction("""COMPUTED_VALUE"""),"")</f>
        <v/>
      </c>
      <c r="O1" s="10" t="str">
        <f ca="1">IFERROR(__xludf.dummyfunction("""COMPUTED_VALUE"""),"")</f>
        <v/>
      </c>
      <c r="P1" s="10" t="str">
        <f ca="1">IFERROR(__xludf.dummyfunction("""COMPUTED_VALUE"""),"")</f>
        <v/>
      </c>
      <c r="Q1" s="10" t="str">
        <f ca="1">IFERROR(__xludf.dummyfunction("""COMPUTED_VALUE"""),"")</f>
        <v/>
      </c>
      <c r="R1" s="10" t="str">
        <f ca="1">IFERROR(__xludf.dummyfunction("""COMPUTED_VALUE"""),"")</f>
        <v/>
      </c>
      <c r="S1" s="10"/>
      <c r="T1" s="10"/>
      <c r="U1" s="10"/>
      <c r="V1" s="10"/>
      <c r="W1" s="10"/>
      <c r="X1" s="10"/>
      <c r="Y1" s="10"/>
      <c r="Z1" s="10"/>
      <c r="AA1" s="10"/>
      <c r="AB1" s="10"/>
    </row>
    <row r="2" spans="1:28" ht="114">
      <c r="A2" s="6" t="s">
        <v>386</v>
      </c>
      <c r="B2" s="13">
        <f ca="1">IFERROR(__xludf.dummyfunction("""COMPUTED_VALUE"""),46044.7529241204)</f>
        <v>46044.752924120403</v>
      </c>
      <c r="C2" s="6" t="str">
        <f ca="1">IFERROR(__xludf.dummyfunction("""COMPUTED_VALUE"""),"Individual or Household")</f>
        <v>Individual or Household</v>
      </c>
      <c r="D2" s="14">
        <f ca="1">IFERROR(__xludf.dummyfunction("""COMPUTED_VALUE"""),5)</f>
        <v>5</v>
      </c>
      <c r="E2" s="6" t="str">
        <f ca="1">IFERROR(__xludf.dummyfunction("""COMPUTED_VALUE"""),"The impact on my children and grandchildren, Loss of biodiversity, Extreme heat/wildfires, Higher bills (higher prices of food, water, energy, etc.), Economic/political instability, Impacts of climate change on poorer communities elsewhere in the world, C"&amp;"limate migration")</f>
        <v>The impact on my children and grandchildren, Loss of biodiversity, Extreme heat/wildfires, Higher bills (higher prices of food, water, energy, etc.), Economic/political instability, Impacts of climate change on poorer communities elsewhere in the world, Climate migration</v>
      </c>
      <c r="F2" s="6" t="str">
        <f ca="1">IFERROR(__xludf.dummyfunction("""COMPUTED_VALUE"""),"Nature friendly gardening (e.g. planting wildflowers, rewilding, using peat-free compost), Adopted a more climate-friendly diet (e.g. reduced meat consumption, buying local, buying food in season), Reduced my travel, Used lower carbon ways of travelling ("&amp;"e.g. walking, cycling, public transport), Invested in an electric/hybrid car, Reduced my energy use, Installed insulation, Reused or repaired items, Composted or recycled waste, Reduced water use (e.g. install water butts, shorter showers), Reduced heat r"&amp;"isk (e.g. additional planting, shading around my property), Joined a climate or environmental group, Talked to friends and family about climate change or actions I've taken, Solar panels plus storage battery")</f>
        <v>Nature friendly gardening (e.g. planting wildflowers, rewilding, using peat-free compost), Adopted a more climate-friendly diet (e.g. reduced meat consumption, buying local, buying food in season), Reduced my travel, Used lower carbon ways of travelling (e.g. walking, cycling, public transport), Invested in an electric/hybrid car, Reduced my energy use, Installed insulation, Reused or repaired items, Composted or recycled waste, Reduced water use (e.g. install water butts, shorter showers), Reduced heat risk (e.g. additional planting, shading around my property), Joined a climate or environmental group, Talked to friends and family about climate change or actions I've taken, Solar panels plus storage battery</v>
      </c>
      <c r="G2" s="6" t="str">
        <f ca="1">IFERROR(__xludf.dummyfunction("""COMPUTED_VALUE"""),"I've done as much as I can")</f>
        <v>I've done as much as I can</v>
      </c>
      <c r="H2" s="6" t="str">
        <f ca="1">IFERROR(__xludf.dummyfunction("""COMPUTED_VALUE"""),"Information about what I can do (including talks/demonstrations), Joining others with similar interests so we can create action together, Opportunities to talk about my feelings about climate change, Practical tasks or projects")</f>
        <v>Information about what I can do (including talks/demonstrations), Joining others with similar interests so we can create action together, Opportunities to talk about my feelings about climate change, Practical tasks or projects</v>
      </c>
      <c r="I2" s="6" t="str">
        <f ca="1">IFERROR(__xludf.dummyfunction("""COMPUTED_VALUE"""),"Reduce traffic, plant more trees, hold veggie days in local pubs and cafes")</f>
        <v>Reduce traffic, plant more trees, hold veggie days in local pubs and cafes</v>
      </c>
      <c r="J2" s="6"/>
      <c r="K2" s="6"/>
      <c r="L2" s="14" t="str">
        <f ca="1">IFERROR(__xludf.dummyfunction("""COMPUTED_VALUE"""),"Over 65")</f>
        <v>Over 65</v>
      </c>
      <c r="M2" s="6"/>
      <c r="N2" s="6"/>
      <c r="O2" s="6"/>
      <c r="P2" s="6"/>
      <c r="Q2" s="6"/>
      <c r="R2" s="6"/>
      <c r="S2" s="6"/>
      <c r="T2" s="6"/>
      <c r="U2" s="6"/>
      <c r="V2" s="6"/>
      <c r="W2" s="6"/>
      <c r="X2" s="6"/>
      <c r="Y2" s="6"/>
      <c r="Z2" s="6"/>
      <c r="AA2" s="6"/>
      <c r="AB2" s="6"/>
    </row>
    <row r="3" spans="1:28" ht="114">
      <c r="A3" s="6" t="s">
        <v>386</v>
      </c>
      <c r="B3" s="13">
        <f ca="1">IFERROR(__xludf.dummyfunction("""COMPUTED_VALUE"""),46045.5621195718)</f>
        <v>46045.562119571798</v>
      </c>
      <c r="C3" s="6" t="str">
        <f ca="1">IFERROR(__xludf.dummyfunction("""COMPUTED_VALUE"""),"Individual or Household")</f>
        <v>Individual or Household</v>
      </c>
      <c r="D3" s="14">
        <f ca="1">IFERROR(__xludf.dummyfunction("""COMPUTED_VALUE"""),5)</f>
        <v>5</v>
      </c>
      <c r="E3" s="6" t="str">
        <f ca="1">IFERROR(__xludf.dummyfunction("""COMPUTED_VALUE"""),"The impact on my children and grandchildren, Loss of biodiversity, Floods and storms, Extreme heat/wildfires, Economic/political instability, Impacts of climate change on poorer communities elsewhere in the world")</f>
        <v>The impact on my children and grandchildren, Loss of biodiversity, Floods and storms, Extreme heat/wildfires, Economic/political instability, Impacts of climate change on poorer communities elsewhere in the world</v>
      </c>
      <c r="F3" s="6" t="str">
        <f ca="1">IFERROR(__xludf.dummyfunction("""COMPUTED_VALUE"""),"Nature friendly gardening (e.g. planting wildflowers, rewilding, using peat-free compost), Adopted a more climate-friendly diet (e.g. reduced meat consumption, buying local, buying food in season), Reduced my travel, Used lower carbon ways of travelling ("&amp;"e.g. walking, cycling, public transport), Reduced my energy use, Hired or borrowed items instead of buying, Reused or repaired items, Composted or recycled waste, Reduced water use (e.g. install water butts, shorter showers), Reduced heat risk (e.g. addit"&amp;"ional planting, shading around my property), Taken political action (e.g. written to MP, taken part in campaigns or protests), Joined a climate or environmental group, Talked to friends and family about climate change or actions I've taken")</f>
        <v>Nature friendly gardening (e.g. planting wildflowers, rewilding, using peat-free compost), Adopted a more climate-friendly diet (e.g. reduced meat consumption, buying local, buying food in season), Reduced my travel, Used lower carbon ways of travelling (e.g. walking, cycling, public transport), Reduced my energy use, Hired or borrowed items instead of buying, Reused or repaired items, Composted or recycled waste, Reduced water use (e.g. install water butts, shorter showers), Reduced heat risk (e.g. additional planting, shading around my property), Taken political action (e.g. written to MP, taken part in campaigns or protests), Joined a climate or environmental group, Talked to friends and family about climate change or actions I've taken</v>
      </c>
      <c r="G3" s="6" t="str">
        <f ca="1">IFERROR(__xludf.dummyfunction("""COMPUTED_VALUE"""),"I don't have the money, I don't have the time")</f>
        <v>I don't have the money, I don't have the time</v>
      </c>
      <c r="H3" s="6" t="str">
        <f ca="1">IFERROR(__xludf.dummyfunction("""COMPUTED_VALUE"""),"Information about what I can do (including talks/demonstrations), Practical tasks or projects")</f>
        <v>Information about what I can do (including talks/demonstrations), Practical tasks or projects</v>
      </c>
      <c r="I3" s="6" t="str">
        <f ca="1">IFERROR(__xludf.dummyfunction("""COMPUTED_VALUE"""),"Reduce traffic: eg reduce car use by residents and traffic volume passing through the village. NB traffic was the biggest quality of life issue for residents in Neighbourhood Plan consultation.")</f>
        <v>Reduce traffic: eg reduce car use by residents and traffic volume passing through the village. NB traffic was the biggest quality of life issue for residents in Neighbourhood Plan consultation.</v>
      </c>
      <c r="J3" s="6" t="str">
        <f ca="1">IFERROR(__xludf.dummyfunction("""COMPUTED_VALUE"""),"Sustain Twyford")</f>
        <v>Sustain Twyford</v>
      </c>
      <c r="K3" s="6"/>
      <c r="L3" s="14" t="str">
        <f ca="1">IFERROR(__xludf.dummyfunction("""COMPUTED_VALUE"""),"Over 65")</f>
        <v>Over 65</v>
      </c>
      <c r="M3" s="6"/>
      <c r="N3" s="6"/>
      <c r="O3" s="6"/>
      <c r="P3" s="6"/>
      <c r="Q3" s="6"/>
      <c r="R3" s="6"/>
      <c r="S3" s="6"/>
      <c r="T3" s="6"/>
      <c r="U3" s="6"/>
      <c r="V3" s="6"/>
      <c r="W3" s="6"/>
      <c r="X3" s="6"/>
      <c r="Y3" s="6"/>
      <c r="Z3" s="6"/>
      <c r="AA3" s="6"/>
      <c r="AB3" s="6"/>
    </row>
    <row r="4" spans="1:28" ht="171">
      <c r="A4" s="6" t="s">
        <v>386</v>
      </c>
      <c r="B4" s="13">
        <f ca="1">IFERROR(__xludf.dummyfunction("""COMPUTED_VALUE"""),46048.5475229861)</f>
        <v>46048.547522986097</v>
      </c>
      <c r="C4" s="6" t="str">
        <f ca="1">IFERROR(__xludf.dummyfunction("""COMPUTED_VALUE"""),"Individual")</f>
        <v>Individual</v>
      </c>
      <c r="D4" s="14">
        <f ca="1">IFERROR(__xludf.dummyfunction("""COMPUTED_VALUE"""),5)</f>
        <v>5</v>
      </c>
      <c r="E4" s="6" t="str">
        <f ca="1">IFERROR(__xludf.dummyfunction("""COMPUTED_VALUE"""),"The impact on my children and grandchildren, Loss of biodiversity, Floods and storms, Water shortages, Extreme heat/wildfires, Higher bills (higher prices of food, water, energy, etc.), Economic/political instability, Impacts of climate change on poorer c"&amp;"ommunities elsewhere in the world, Climate migration")</f>
        <v>The impact on my children and grandchildren, Loss of biodiversity, Floods and storms, Water shortages, Extreme heat/wildfires, Higher bills (higher prices of food, water, energy, etc.), Economic/political instability, Impacts of climate change on poorer communities elsewhere in the world, Climate migration</v>
      </c>
      <c r="F4" s="6" t="str">
        <f ca="1">IFERROR(__xludf.dummyfunction("""COMPUTED_VALUE"""),"Nature friendly gardening (e.g. planting wildflowers, rewilding, using peat-free compost), Adopted a more climate-friendly diet (e.g. reduced meat consumption, buying local, buying food in season), Reduced my travel, Used lower carbon ways of travelling ("&amp;"e.g. walking, cycling, public transport), Installed insulation, Hired or borrowed items instead of buying, Reused or repaired items, Composted or recycled waste, Reduced water use (e.g. install water butts, shorter showers), Moved my money to sustainable "&amp;"banks or invested in sustainable funds, Taken political action (e.g. written to MP, taken part in campaigns or protests), Joined a climate or environmental group, Talked to friends and family about climate change or actions I've taken")</f>
        <v>Nature friendly gardening (e.g. planting wildflowers, rewilding, using peat-free compost), Adopted a more climate-friendly diet (e.g. reduced meat consumption, buying local, buying food in season), Reduced my travel, Used lower carbon ways of travelling (e.g. walking, cycling, public transport), Installed insulation, Hired or borrowed items instead of buying, Reused or repaired items, Composted or recycled waste, Reduced water use (e.g. install water butts, shorter showers), Moved my money to sustainable banks or invested in sustainable funds, Taken political action (e.g. written to MP, taken part in campaigns or protests), Joined a climate or environmental group, Talked to friends and family about climate change or actions I've taken</v>
      </c>
      <c r="G4" s="6" t="str">
        <f ca="1">IFERROR(__xludf.dummyfunction("""COMPUTED_VALUE"""),"I’m doing as much as I can for now")</f>
        <v>I’m doing as much as I can for now</v>
      </c>
      <c r="H4" s="6" t="str">
        <f ca="1">IFERROR(__xludf.dummyfunction("""COMPUTED_VALUE"""),"Information about what I can do (including talks/demonstrations), Joining others with similar interests so we can create action together, Opportunities to talk about my feelings about climate change, Practical tasks or projects, Sharing my skills and know"&amp;"ledge with others, Setting up locally run projects or campaigns")</f>
        <v>Information about what I can do (including talks/demonstrations), Joining others with similar interests so we can create action together, Opportunities to talk about my feelings about climate change, Practical tasks or projects, Sharing my skills and knowledge with others, Setting up locally run projects or campaigns</v>
      </c>
      <c r="I4" s="6" t="str">
        <f ca="1">IFERROR(__xludf.dummyfunction("""COMPUTED_VALUE"""),"Provide an hub for opportunities and signposting for people to come together as groups who all focus on different topics where local or global. Encourage everyone to lead or contribute according to their own interests and specialisms rather than a prescri"&amp;"ptive one size fits all approach. 
We need to build a strong community to help us through the challenges associated with what’s being billed as the poly crisis. 
As well as community involvement, we really need bold and visible leadership from the Parish "&amp;"Council. ")</f>
        <v xml:space="preserve">Provide an hub for opportunities and signposting for people to come together as groups who all focus on different topics where local or global. Encourage everyone to lead or contribute according to their own interests and specialisms rather than a prescriptive one size fits all approach. 
We need to build a strong community to help us through the challenges associated with what’s being billed as the poly crisis. 
As well as community involvement, we really need bold and visible leadership from the Parish Council. </v>
      </c>
      <c r="J4" s="6" t="str">
        <f ca="1">IFERROR(__xludf.dummyfunction("""COMPUTED_VALUE"""),"Not my specialism but I like ideas that incorporate words such as:
Twyford, Environment, Climate, Community, Adaption, Restoration, Resilience
")</f>
        <v xml:space="preserve">Not my specialism but I like ideas that incorporate words such as:
Twyford, Environment, Climate, Community, Adaption, Restoration, Resilience
</v>
      </c>
      <c r="K4" s="6"/>
      <c r="L4" s="14" t="str">
        <f ca="1">IFERROR(__xludf.dummyfunction("""COMPUTED_VALUE"""),"45-54")</f>
        <v>45-54</v>
      </c>
      <c r="M4" s="6"/>
      <c r="N4" s="6"/>
      <c r="O4" s="6"/>
      <c r="P4" s="6"/>
      <c r="Q4" s="6"/>
      <c r="R4" s="6"/>
      <c r="S4" s="6"/>
      <c r="T4" s="6"/>
      <c r="U4" s="6"/>
      <c r="V4" s="6"/>
      <c r="W4" s="6"/>
      <c r="X4" s="6"/>
      <c r="Y4" s="6"/>
      <c r="Z4" s="6"/>
      <c r="AA4" s="6"/>
      <c r="AB4" s="6"/>
    </row>
    <row r="5" spans="1:28" ht="128.25">
      <c r="A5" s="6" t="s">
        <v>386</v>
      </c>
      <c r="B5" s="13">
        <f ca="1">IFERROR(__xludf.dummyfunction("""COMPUTED_VALUE"""),46051.9475724884)</f>
        <v>46051.947572488403</v>
      </c>
      <c r="C5" s="6" t="str">
        <f ca="1">IFERROR(__xludf.dummyfunction("""COMPUTED_VALUE"""),"Household")</f>
        <v>Household</v>
      </c>
      <c r="D5" s="14">
        <f ca="1">IFERROR(__xludf.dummyfunction("""COMPUTED_VALUE"""),5)</f>
        <v>5</v>
      </c>
      <c r="E5" s="6" t="str">
        <f ca="1">IFERROR(__xludf.dummyfunction("""COMPUTED_VALUE"""),"The impact on my children and grandchildren, Loss of biodiversity, Floods and storms, Water shortages, Extreme heat/wildfires, Higher bills (higher prices of food, water, energy, etc.), Economic/political instability, Impacts of climate change on poorer c"&amp;"ommunities elsewhere in the world, Climate migration, Negative impact on health of climate change")</f>
        <v>The impact on my children and grandchildren, Loss of biodiversity, Floods and storms, Water shortages, Extreme heat/wildfires, Higher bills (higher prices of food, water, energy, etc.), Economic/political instability, Impacts of climate change on poorer communities elsewhere in the world, Climate migration, Negative impact on health of climate change</v>
      </c>
      <c r="F5" s="6" t="str">
        <f ca="1">IFERROR(__xludf.dummyfunction("""COMPUTED_VALUE"""),"Adopted a more climate-friendly diet (e.g. reduced meat consumption, buying local, buying food in season), Reduced my travel, Used lower carbon ways of travelling (e.g. walking, cycling, public transport), Invested in an electric/hybrid car, Reused or rep"&amp;"aired items, Composted or recycled waste, Reduced water use (e.g. install water butts, shorter showers), Moved my money to sustainable banks or invested in sustainable funds, Taken political action (e.g. written to MP, taken part in campaigns or protests)"&amp;", Joined a climate or environmental group, Talked to friends and family about climate change or actions I've taken")</f>
        <v>Adopted a more climate-friendly diet (e.g. reduced meat consumption, buying local, buying food in season), Reduced my travel, Used lower carbon ways of travelling (e.g. walking, cycling, public transport), Invested in an electric/hybrid car, Reused or repaired items, Composted or recycled waste, Reduced water use (e.g. install water butts, shorter showers), Moved my money to sustainable banks or invested in sustainable funds, Taken political action (e.g. written to MP, taken part in campaigns or protests), Joined a climate or environmental group, Talked to friends and family about climate change or actions I've taken</v>
      </c>
      <c r="G5" s="6" t="str">
        <f ca="1">IFERROR(__xludf.dummyfunction("""COMPUTED_VALUE"""),"I don't have the time")</f>
        <v>I don't have the time</v>
      </c>
      <c r="H5" s="6" t="str">
        <f ca="1">IFERROR(__xludf.dummyfunction("""COMPUTED_VALUE"""),"Information about what I can do (including talks/demonstrations), Joining others with similar interests so we can create action together, Opportunities to talk about my feelings about climate change, Practical tasks or projects, Sharing my skills and know"&amp;"ledge with others, Setting up locally run projects or campaigns")</f>
        <v>Information about what I can do (including talks/demonstrations), Joining others with similar interests so we can create action together, Opportunities to talk about my feelings about climate change, Practical tasks or projects, Sharing my skills and knowledge with others, Setting up locally run projects or campaigns</v>
      </c>
      <c r="I5" s="6" t="str">
        <f ca="1">IFERROR(__xludf.dummyfunction("""COMPUTED_VALUE"""),"1) Reduce the speed limit through the village in a meaningful way (with speed cameras) to reduce the negative impact from air pollution on the climate and residents. 
2) Campaign and work towards better infrastructure for safer cycling and walking routes"&amp;" and public transport. 
3) Conservation of the green spaces around the village and the beautiful nature spaces we are so fortunate to be surrounded by. ")</f>
        <v xml:space="preserve">1) Reduce the speed limit through the village in a meaningful way (with speed cameras) to reduce the negative impact from air pollution on the climate and residents. 
2) Campaign and work towards better infrastructure for safer cycling and walking routes and public transport. 
3) Conservation of the green spaces around the village and the beautiful nature spaces we are so fortunate to be surrounded by. </v>
      </c>
      <c r="J5" s="6" t="str">
        <f ca="1">IFERROR(__xludf.dummyfunction("""COMPUTED_VALUE"""),"Twyford Action for Climate Change (TACC) ")</f>
        <v xml:space="preserve">Twyford Action for Climate Change (TACC) </v>
      </c>
      <c r="K5" s="6" t="str">
        <f ca="1">IFERROR(__xludf.dummyfunction("""COMPUTED_VALUE"""),"I would be happy to volunteer time to the group if details of this are shared. ")</f>
        <v xml:space="preserve">I would be happy to volunteer time to the group if details of this are shared. </v>
      </c>
      <c r="L5" s="14" t="str">
        <f ca="1">IFERROR(__xludf.dummyfunction("""COMPUTED_VALUE"""),"35-44")</f>
        <v>35-44</v>
      </c>
      <c r="M5" s="6"/>
      <c r="N5" s="6"/>
      <c r="O5" s="6"/>
      <c r="P5" s="6"/>
      <c r="Q5" s="6"/>
      <c r="R5" s="6"/>
      <c r="S5" s="6"/>
      <c r="T5" s="6"/>
      <c r="U5" s="6"/>
      <c r="V5" s="6"/>
      <c r="W5" s="6"/>
      <c r="X5" s="6"/>
      <c r="Y5" s="6"/>
      <c r="Z5" s="6"/>
      <c r="AA5" s="6"/>
      <c r="AB5" s="6"/>
    </row>
    <row r="6" spans="1:28" ht="71.25">
      <c r="A6" s="6" t="s">
        <v>386</v>
      </c>
      <c r="B6" s="13">
        <f ca="1">IFERROR(__xludf.dummyfunction("""COMPUTED_VALUE"""),46051.9763743287)</f>
        <v>46051.976374328697</v>
      </c>
      <c r="C6" s="6" t="str">
        <f ca="1">IFERROR(__xludf.dummyfunction("""COMPUTED_VALUE"""),"Household")</f>
        <v>Household</v>
      </c>
      <c r="D6" s="14">
        <f ca="1">IFERROR(__xludf.dummyfunction("""COMPUTED_VALUE"""),5)</f>
        <v>5</v>
      </c>
      <c r="E6" s="6" t="str">
        <f ca="1">IFERROR(__xludf.dummyfunction("""COMPUTED_VALUE"""),"The impact on my children and grandchildren, Loss of biodiversity, Floods and storms, Water shortages, Extreme heat/wildfires, Economic/political instability, Impacts of climate change on poorer communities elsewhere in the world, Climate migration")</f>
        <v>The impact on my children and grandchildren, Loss of biodiversity, Floods and storms, Water shortages, Extreme heat/wildfires, Economic/political instability, Impacts of climate change on poorer communities elsewhere in the world, Climate migration</v>
      </c>
      <c r="F6" s="6" t="str">
        <f ca="1">IFERROR(__xludf.dummyfunction("""COMPUTED_VALUE"""),"Adopted a more climate-friendly diet (e.g. reduced meat consumption, buying local, buying food in season), Used lower carbon ways of travelling (e.g. walking, cycling, public transport), Invested in an electric/hybrid car, Composted or recycled waste, Mov"&amp;"ed my money to sustainable banks or invested in sustainable funds, Taken political action (e.g. written to MP, taken part in campaigns or protests), Talked to friends and family about climate change or actions I've taken")</f>
        <v>Adopted a more climate-friendly diet (e.g. reduced meat consumption, buying local, buying food in season), Used lower carbon ways of travelling (e.g. walking, cycling, public transport), Invested in an electric/hybrid car, Composted or recycled waste, Moved my money to sustainable banks or invested in sustainable funds, Taken political action (e.g. written to MP, taken part in campaigns or protests), Talked to friends and family about climate change or actions I've taken</v>
      </c>
      <c r="G6" s="6" t="str">
        <f ca="1">IFERROR(__xludf.dummyfunction("""COMPUTED_VALUE"""),"I don't have the money, I believe it's up to those in power to lead")</f>
        <v>I don't have the money, I believe it's up to those in power to lead</v>
      </c>
      <c r="H6" s="6" t="str">
        <f ca="1">IFERROR(__xludf.dummyfunction("""COMPUTED_VALUE"""),"Joining others with similar interests so we can create action together, Practical tasks or projects, Sharing my skills and knowledge with others, Setting up locally run projects or campaigns")</f>
        <v>Joining others with similar interests so we can create action together, Practical tasks or projects, Sharing my skills and knowledge with others, Setting up locally run projects or campaigns</v>
      </c>
      <c r="I6" s="6" t="str">
        <f ca="1">IFERROR(__xludf.dummyfunction("""COMPUTED_VALUE"""),"Introduce safe cycling routes to Winchester, Shawford and Colden Common.
Reduce the speed limit to 20mph through the village with speed cameras.")</f>
        <v>Introduce safe cycling routes to Winchester, Shawford and Colden Common.
Reduce the speed limit to 20mph through the village with speed cameras.</v>
      </c>
      <c r="J6" s="6"/>
      <c r="K6" s="6"/>
      <c r="L6" s="14" t="str">
        <f ca="1">IFERROR(__xludf.dummyfunction("""COMPUTED_VALUE"""),"35-44")</f>
        <v>35-44</v>
      </c>
      <c r="M6" s="6"/>
      <c r="N6" s="6"/>
      <c r="O6" s="6"/>
      <c r="P6" s="6"/>
      <c r="Q6" s="6"/>
      <c r="R6" s="6"/>
      <c r="S6" s="6"/>
      <c r="T6" s="6"/>
      <c r="U6" s="6"/>
      <c r="V6" s="6"/>
      <c r="W6" s="6"/>
      <c r="X6" s="6"/>
      <c r="Y6" s="6"/>
      <c r="Z6" s="6"/>
      <c r="AA6" s="6"/>
      <c r="AB6" s="6"/>
    </row>
    <row r="7" spans="1:28" ht="71.25">
      <c r="A7" s="6" t="s">
        <v>386</v>
      </c>
      <c r="B7" s="13">
        <f ca="1">IFERROR(__xludf.dummyfunction("""COMPUTED_VALUE"""),46052.5287322106)</f>
        <v>46052.528732210601</v>
      </c>
      <c r="C7" s="6" t="str">
        <f ca="1">IFERROR(__xludf.dummyfunction("""COMPUTED_VALUE"""),"Individual")</f>
        <v>Individual</v>
      </c>
      <c r="D7" s="14">
        <f ca="1">IFERROR(__xludf.dummyfunction("""COMPUTED_VALUE"""),5)</f>
        <v>5</v>
      </c>
      <c r="E7" s="6" t="str">
        <f ca="1">IFERROR(__xludf.dummyfunction("""COMPUTED_VALUE"""),"The impact on my children and grandchildren, Loss of biodiversity, Floods and storms, Water shortages, Extreme heat/wildfires")</f>
        <v>The impact on my children and grandchildren, Loss of biodiversity, Floods and storms, Water shortages, Extreme heat/wildfires</v>
      </c>
      <c r="F7" s="6" t="str">
        <f ca="1">IFERROR(__xludf.dummyfunction("""COMPUTED_VALUE"""),"Nature friendly gardening (e.g. planting wildflowers, rewilding, using peat-free compost), Adopted a more climate-friendly diet (e.g. reduced meat consumption, buying local, buying food in season), Used lower carbon ways of travelling (e.g. walking, cycli"&amp;"ng, public transport), Hired or borrowed items instead of buying, Reused or repaired items, Composted or recycled waste, Reduced water use (e.g. install water butts, shorter showers)")</f>
        <v>Nature friendly gardening (e.g. planting wildflowers, rewilding, using peat-free compost), Adopted a more climate-friendly diet (e.g. reduced meat consumption, buying local, buying food in season), Used lower carbon ways of travelling (e.g. walking, cycling, public transport), Hired or borrowed items instead of buying, Reused or repaired items, Composted or recycled waste, Reduced water use (e.g. install water butts, shorter showers)</v>
      </c>
      <c r="G7" s="6" t="str">
        <f ca="1">IFERROR(__xludf.dummyfunction("""COMPUTED_VALUE"""),"N/a")</f>
        <v>N/a</v>
      </c>
      <c r="H7" s="6" t="str">
        <f ca="1">IFERROR(__xludf.dummyfunction("""COMPUTED_VALUE"""),"Information about what I can do (including talks/demonstrations), Joining others with similar interests so we can create action together, Practical tasks or projects, Setting up locally run projects or campaigns")</f>
        <v>Information about what I can do (including talks/demonstrations), Joining others with similar interests so we can create action together, Practical tasks or projects, Setting up locally run projects or campaigns</v>
      </c>
      <c r="I7" s="6" t="str">
        <f ca="1">IFERROR(__xludf.dummyfunction("""COMPUTED_VALUE"""),"Promote and encourage the little/easy changes that everyone can do. Rewilding of the available land.")</f>
        <v>Promote and encourage the little/easy changes that everyone can do. Rewilding of the available land.</v>
      </c>
      <c r="J7" s="6"/>
      <c r="K7" s="6"/>
      <c r="L7" s="14" t="str">
        <f ca="1">IFERROR(__xludf.dummyfunction("""COMPUTED_VALUE"""),"45-54")</f>
        <v>45-54</v>
      </c>
      <c r="M7" s="6"/>
      <c r="N7" s="6"/>
      <c r="O7" s="6"/>
      <c r="P7" s="6"/>
      <c r="Q7" s="6"/>
      <c r="R7" s="6"/>
      <c r="S7" s="6"/>
      <c r="T7" s="6"/>
      <c r="U7" s="6"/>
      <c r="V7" s="6"/>
      <c r="W7" s="6"/>
      <c r="X7" s="6"/>
      <c r="Y7" s="6"/>
      <c r="Z7" s="6"/>
      <c r="AA7" s="6"/>
      <c r="AB7" s="6"/>
    </row>
    <row r="8" spans="1:28" ht="85.5">
      <c r="A8" s="6" t="s">
        <v>386</v>
      </c>
      <c r="B8" s="13">
        <f ca="1">IFERROR(__xludf.dummyfunction("""COMPUTED_VALUE"""),46052.8085219792)</f>
        <v>46052.808521979197</v>
      </c>
      <c r="C8" s="6" t="str">
        <f ca="1">IFERROR(__xludf.dummyfunction("""COMPUTED_VALUE"""),"Household")</f>
        <v>Household</v>
      </c>
      <c r="D8" s="14">
        <f ca="1">IFERROR(__xludf.dummyfunction("""COMPUTED_VALUE"""),5)</f>
        <v>5</v>
      </c>
      <c r="E8" s="6" t="str">
        <f ca="1">IFERROR(__xludf.dummyfunction("""COMPUTED_VALUE"""),"The impact on my children and grandchildren, Loss of biodiversity, Floods and storms, Impacts of climate change on poorer communities elsewhere in the world, Climate migration")</f>
        <v>The impact on my children and grandchildren, Loss of biodiversity, Floods and storms, Impacts of climate change on poorer communities elsewhere in the world, Climate migration</v>
      </c>
      <c r="F8" s="6" t="str">
        <f ca="1">IFERROR(__xludf.dummyfunction("""COMPUTED_VALUE"""),"Nature friendly gardening (e.g. planting wildflowers, rewilding, using peat-free compost), Adopted a more climate-friendly diet (e.g. reduced meat consumption, buying local, buying food in season), Reduced my travel, Invested in an electric/hybrid car, Re"&amp;"duced my energy use, Installed insulation, Installed a greener heating system, Reused or repaired items, Composted or recycled waste, Reduced water use (e.g. install water butts, shorter showers), Moved my money to sustainable banks or invested in sustain"&amp;"able funds, Installed significant solar generation")</f>
        <v>Nature friendly gardening (e.g. planting wildflowers, rewilding, using peat-free compost), Adopted a more climate-friendly diet (e.g. reduced meat consumption, buying local, buying food in season), Reduced my travel, Invested in an electric/hybrid car, Reduced my energy use, Installed insulation, Installed a greener heating system, Reused or repaired items, Composted or recycled waste, Reduced water use (e.g. install water butts, shorter showers), Moved my money to sustainable banks or invested in sustainable funds, Installed significant solar generation</v>
      </c>
      <c r="G8" s="6" t="str">
        <f ca="1">IFERROR(__xludf.dummyfunction("""COMPUTED_VALUE"""),"Balancing demands of life with taking action")</f>
        <v>Balancing demands of life with taking action</v>
      </c>
      <c r="H8" s="6" t="str">
        <f ca="1">IFERROR(__xludf.dummyfunction("""COMPUTED_VALUE"""),"Information about what I can do (including talks/demonstrations)")</f>
        <v>Information about what I can do (including talks/demonstrations)</v>
      </c>
      <c r="I8" s="6" t="str">
        <f ca="1">IFERROR(__xludf.dummyfunction("""COMPUTED_VALUE"""),"Take care of our green spaces and promote locally grown non plastic covered or processed foods eg support Hampshire Market Garden")</f>
        <v>Take care of our green spaces and promote locally grown non plastic covered or processed foods eg support Hampshire Market Garden</v>
      </c>
      <c r="J8" s="6"/>
      <c r="K8" s="6"/>
      <c r="L8" s="14" t="str">
        <f ca="1">IFERROR(__xludf.dummyfunction("""COMPUTED_VALUE"""),"55-64")</f>
        <v>55-64</v>
      </c>
      <c r="M8" s="6"/>
      <c r="N8" s="6"/>
      <c r="O8" s="6"/>
      <c r="P8" s="6"/>
      <c r="Q8" s="6"/>
      <c r="R8" s="6"/>
      <c r="S8" s="6"/>
      <c r="T8" s="6"/>
      <c r="U8" s="6"/>
      <c r="V8" s="6"/>
      <c r="W8" s="6"/>
      <c r="X8" s="6"/>
      <c r="Y8" s="6"/>
      <c r="Z8" s="6"/>
      <c r="AA8" s="6"/>
      <c r="AB8" s="6"/>
    </row>
    <row r="9" spans="1:28" ht="114">
      <c r="A9" s="6" t="s">
        <v>386</v>
      </c>
      <c r="B9" s="13">
        <f ca="1">IFERROR(__xludf.dummyfunction("""COMPUTED_VALUE"""),46061.695272581)</f>
        <v>46061.695272580997</v>
      </c>
      <c r="C9" s="6" t="str">
        <f ca="1">IFERROR(__xludf.dummyfunction("""COMPUTED_VALUE"""),"Household")</f>
        <v>Household</v>
      </c>
      <c r="D9" s="14">
        <f ca="1">IFERROR(__xludf.dummyfunction("""COMPUTED_VALUE"""),5)</f>
        <v>5</v>
      </c>
      <c r="E9" s="6" t="str">
        <f ca="1">IFERROR(__xludf.dummyfunction("""COMPUTED_VALUE"""),"The impact on my children and grandchildren, Loss of biodiversity, Floods and storms, Water shortages, Extreme heat/wildfires, Economic/political instability, Impacts of climate change on poorer communities elsewhere in the world")</f>
        <v>The impact on my children and grandchildren, Loss of biodiversity, Floods and storms, Water shortages, Extreme heat/wildfires, Economic/political instability, Impacts of climate change on poorer communities elsewhere in the world</v>
      </c>
      <c r="F9" s="6" t="str">
        <f ca="1">IFERROR(__xludf.dummyfunction("""COMPUTED_VALUE"""),"Nature friendly gardening (e.g. planting wildflowers, rewilding, using peat-free compost), Adopted a more climate-friendly diet (e.g. reduced meat consumption, buying local, buying food in season), Reduced my travel, Hired or borrowed items instead of buy"&amp;"ing, Reused or repaired items, Composted or recycled waste, Moved my money to sustainable banks or invested in sustainable funds, Taken political action (e.g. written to MP, taken part in campaigns or protests), Joined a climate or environmental group, Ta"&amp;"lked to friends and family about climate change or actions I've taken")</f>
        <v>Nature friendly gardening (e.g. planting wildflowers, rewilding, using peat-free compost), Adopted a more climate-friendly diet (e.g. reduced meat consumption, buying local, buying food in season), Reduced my travel, Hired or borrowed items instead of buying, Reused or repaired items, Composted or recycled waste, Moved my money to sustainable banks or invested in sustainable funds, Taken political action (e.g. written to MP, taken part in campaigns or protests), Joined a climate or environmental group, Talked to friends and family about climate change or actions I've taken</v>
      </c>
      <c r="G9" s="6" t="str">
        <f ca="1">IFERROR(__xludf.dummyfunction("""COMPUTED_VALUE"""),"I don't have the money, I don't have the time, I believe it's up to those in power to lead")</f>
        <v>I don't have the money, I don't have the time, I believe it's up to those in power to lead</v>
      </c>
      <c r="H9" s="6" t="str">
        <f ca="1">IFERROR(__xludf.dummyfunction("""COMPUTED_VALUE"""),"Information about what I can do (including talks/demonstrations), Joining others with similar interests so we can create action together, Opportunities to talk about my feelings about climate change, Practical tasks or projects, Sharing my skills and know"&amp;"ledge with others, Setting up locally run projects or campaigns, Attending protests")</f>
        <v>Information about what I can do (including talks/demonstrations), Joining others with similar interests so we can create action together, Opportunities to talk about my feelings about climate change, Practical tasks or projects, Sharing my skills and knowledge with others, Setting up locally run projects or campaigns, Attending protests</v>
      </c>
      <c r="I9" s="6" t="str">
        <f ca="1">IFERROR(__xludf.dummyfunction("""COMPUTED_VALUE"""),"Educate, large (and small scale) biodiviersity efforts, sharing economy (repair, reuse, teach skills), monthly repair cafe.")</f>
        <v>Educate, large (and small scale) biodiviersity efforts, sharing economy (repair, reuse, teach skills), monthly repair cafe.</v>
      </c>
      <c r="J9" s="6"/>
      <c r="K9" s="6" t="str">
        <f ca="1">IFERROR(__xludf.dummyfunction("""COMPUTED_VALUE"""),"We will be messaging about getting inolved!")</f>
        <v>We will be messaging about getting inolved!</v>
      </c>
      <c r="L9" s="14" t="str">
        <f ca="1">IFERROR(__xludf.dummyfunction("""COMPUTED_VALUE"""),"35-44")</f>
        <v>35-44</v>
      </c>
      <c r="M9" s="6"/>
      <c r="N9" s="6"/>
      <c r="O9" s="6"/>
      <c r="P9" s="6"/>
      <c r="Q9" s="6"/>
      <c r="R9" s="6"/>
      <c r="S9" s="6"/>
      <c r="T9" s="6"/>
      <c r="U9" s="6"/>
      <c r="V9" s="6"/>
      <c r="W9" s="6"/>
      <c r="X9" s="6"/>
      <c r="Y9" s="6"/>
      <c r="Z9" s="6"/>
      <c r="AA9" s="6"/>
      <c r="AB9" s="6"/>
    </row>
    <row r="10" spans="1:28" ht="42.75">
      <c r="A10" s="6" t="s">
        <v>386</v>
      </c>
      <c r="B10" s="13">
        <f ca="1">IFERROR(__xludf.dummyfunction("""COMPUTED_VALUE"""),46063.7047528819)</f>
        <v>46063.704752881902</v>
      </c>
      <c r="C10" s="6" t="str">
        <f ca="1">IFERROR(__xludf.dummyfunction("""COMPUTED_VALUE"""),"Household")</f>
        <v>Household</v>
      </c>
      <c r="D10" s="14">
        <f ca="1">IFERROR(__xludf.dummyfunction("""COMPUTED_VALUE"""),4)</f>
        <v>4</v>
      </c>
      <c r="E10" s="6" t="str">
        <f ca="1">IFERROR(__xludf.dummyfunction("""COMPUTED_VALUE"""),"Loss of biodiversity, Floods and storms, Water shortages, Extreme heat/wildfires, Higher bills (higher prices of food, water, energy, etc.), Impacts of climate change on poorer communities elsewhere in the world")</f>
        <v>Loss of biodiversity, Floods and storms, Water shortages, Extreme heat/wildfires, Higher bills (higher prices of food, water, energy, etc.), Impacts of climate change on poorer communities elsewhere in the world</v>
      </c>
      <c r="F10" s="6" t="str">
        <f ca="1">IFERROR(__xludf.dummyfunction("""COMPUTED_VALUE"""),"Adopted a more climate-friendly diet (e.g. reduced meat consumption, buying local, buying food in season), Invested in an electric/hybrid car, Installed a greener heating system, Reused or repaired items, Composted or recycled waste, Reduced water use (e."&amp;"g. install water butts, shorter showers)")</f>
        <v>Adopted a more climate-friendly diet (e.g. reduced meat consumption, buying local, buying food in season), Invested in an electric/hybrid car, Installed a greener heating system, Reused or repaired items, Composted or recycled waste, Reduced water use (e.g. install water butts, shorter showers)</v>
      </c>
      <c r="G10" s="6" t="str">
        <f ca="1">IFERROR(__xludf.dummyfunction("""COMPUTED_VALUE"""),"I don't have the money")</f>
        <v>I don't have the money</v>
      </c>
      <c r="H10" s="6" t="str">
        <f ca="1">IFERROR(__xludf.dummyfunction("""COMPUTED_VALUE"""),"Information about what I can do (including talks/demonstrations)")</f>
        <v>Information about what I can do (including talks/demonstrations)</v>
      </c>
      <c r="I10" s="6"/>
      <c r="J10" s="6"/>
      <c r="K10" s="6"/>
      <c r="L10" s="14" t="str">
        <f ca="1">IFERROR(__xludf.dummyfunction("""COMPUTED_VALUE"""),"45-54")</f>
        <v>45-54</v>
      </c>
      <c r="M10" s="6"/>
      <c r="N10" s="6"/>
      <c r="O10" s="6"/>
      <c r="P10" s="6"/>
      <c r="Q10" s="6"/>
      <c r="R10" s="6"/>
      <c r="S10" s="6"/>
      <c r="T10" s="6"/>
      <c r="U10" s="6"/>
      <c r="V10" s="6"/>
      <c r="W10" s="6"/>
      <c r="X10" s="6"/>
      <c r="Y10" s="6"/>
      <c r="Z10" s="6"/>
      <c r="AA10" s="6"/>
      <c r="AB10" s="6"/>
    </row>
    <row r="11" spans="1:28" ht="57">
      <c r="A11" s="6" t="s">
        <v>386</v>
      </c>
      <c r="B11" s="13">
        <f ca="1">IFERROR(__xludf.dummyfunction("""COMPUTED_VALUE"""),46063.7053879398)</f>
        <v>46063.705387939801</v>
      </c>
      <c r="C11" s="6" t="str">
        <f ca="1">IFERROR(__xludf.dummyfunction("""COMPUTED_VALUE"""),"Individual")</f>
        <v>Individual</v>
      </c>
      <c r="D11" s="14">
        <f ca="1">IFERROR(__xludf.dummyfunction("""COMPUTED_VALUE"""),5)</f>
        <v>5</v>
      </c>
      <c r="E11" s="6" t="str">
        <f ca="1">IFERROR(__xludf.dummyfunction("""COMPUTED_VALUE"""),"The impact on my children and grandchildren, Loss of biodiversity, Floods and storms, Water shortages, Climate migration")</f>
        <v>The impact on my children and grandchildren, Loss of biodiversity, Floods and storms, Water shortages, Climate migration</v>
      </c>
      <c r="F11" s="6" t="str">
        <f ca="1">IFERROR(__xludf.dummyfunction("""COMPUTED_VALUE"""),"Adopted a more climate-friendly diet (e.g. reduced meat consumption, buying local, buying food in season), Reduced my travel, Used lower carbon ways of travelling (e.g. walking, cycling, public transport), Reduced my energy use, Installed insulation, Comp"&amp;"osted or recycled waste")</f>
        <v>Adopted a more climate-friendly diet (e.g. reduced meat consumption, buying local, buying food in season), Reduced my travel, Used lower carbon ways of travelling (e.g. walking, cycling, public transport), Reduced my energy use, Installed insulation, Composted or recycled waste</v>
      </c>
      <c r="G11" s="6" t="str">
        <f ca="1">IFERROR(__xludf.dummyfunction("""COMPUTED_VALUE"""),"I don't have the money, I don't have the time")</f>
        <v>I don't have the money, I don't have the time</v>
      </c>
      <c r="H11" s="6" t="str">
        <f ca="1">IFERROR(__xludf.dummyfunction("""COMPUTED_VALUE"""),"Setting up locally run projects or campaigns")</f>
        <v>Setting up locally run projects or campaigns</v>
      </c>
      <c r="I11" s="6" t="str">
        <f ca="1">IFERROR(__xludf.dummyfunction("""COMPUTED_VALUE"""),"Lobby local government to improve bus access in Twyford, especially a direct and regular bus to Winchester station at peak commuting hours,
synchronised with the London trains. Also, stop parish council grazing cows on common land!  ")</f>
        <v xml:space="preserve">Lobby local government to improve bus access in Twyford, especially a direct and regular bus to Winchester station at peak commuting hours,
synchronised with the London trains. Also, stop parish council grazing cows on common land!  </v>
      </c>
      <c r="J11" s="6"/>
      <c r="K11" s="6"/>
      <c r="L11" s="14" t="str">
        <f ca="1">IFERROR(__xludf.dummyfunction("""COMPUTED_VALUE"""),"45-54")</f>
        <v>45-54</v>
      </c>
      <c r="M11" s="6"/>
      <c r="N11" s="6"/>
      <c r="O11" s="6"/>
      <c r="P11" s="6"/>
      <c r="Q11" s="6"/>
      <c r="R11" s="6"/>
      <c r="S11" s="6"/>
      <c r="T11" s="6"/>
      <c r="U11" s="6"/>
      <c r="V11" s="6"/>
      <c r="W11" s="6"/>
      <c r="X11" s="6"/>
      <c r="Y11" s="6"/>
      <c r="Z11" s="6"/>
      <c r="AA11" s="6"/>
      <c r="AB11" s="6"/>
    </row>
    <row r="12" spans="1:28" ht="57">
      <c r="A12" s="6" t="s">
        <v>386</v>
      </c>
      <c r="B12" s="13">
        <f ca="1">IFERROR(__xludf.dummyfunction("""COMPUTED_VALUE"""),46063.7211978935)</f>
        <v>46063.721197893501</v>
      </c>
      <c r="C12" s="6" t="str">
        <f ca="1">IFERROR(__xludf.dummyfunction("""COMPUTED_VALUE"""),"Individual")</f>
        <v>Individual</v>
      </c>
      <c r="D12" s="14">
        <f ca="1">IFERROR(__xludf.dummyfunction("""COMPUTED_VALUE"""),5)</f>
        <v>5</v>
      </c>
      <c r="E12" s="6" t="str">
        <f ca="1">IFERROR(__xludf.dummyfunction("""COMPUTED_VALUE"""),"The impact on my children and grandchildren, Loss of biodiversity, Floods and storms, Water shortages, Extreme heat/wildfires, Higher bills (higher prices of food, water, energy, etc.), Economic/political instability, Impacts of climate change on poorer c"&amp;"ommunities elsewhere in the world, Climate migration")</f>
        <v>The impact on my children and grandchildren, Loss of biodiversity, Floods and storms, Water shortages, Extreme heat/wildfires, Higher bills (higher prices of food, water, energy, etc.), Economic/political instability, Impacts of climate change on poorer communities elsewhere in the world, Climate migration</v>
      </c>
      <c r="F12" s="6" t="str">
        <f ca="1">IFERROR(__xludf.dummyfunction("""COMPUTED_VALUE"""),"Nature friendly gardening (e.g. planting wildflowers, rewilding, using peat-free compost), Invested in an electric/hybrid car, Reduced my energy use, Installed a greener heating system, Composted or recycled waste, Reduced water use (e.g. install water bu"&amp;"tts, shorter showers)")</f>
        <v>Nature friendly gardening (e.g. planting wildflowers, rewilding, using peat-free compost), Invested in an electric/hybrid car, Reduced my energy use, Installed a greener heating system, Composted or recycled waste, Reduced water use (e.g. install water butts, shorter showers)</v>
      </c>
      <c r="G12" s="6" t="str">
        <f ca="1">IFERROR(__xludf.dummyfunction("""COMPUTED_VALUE"""),"I don't know what I can do")</f>
        <v>I don't know what I can do</v>
      </c>
      <c r="H12" s="6" t="str">
        <f ca="1">IFERROR(__xludf.dummyfunction("""COMPUTED_VALUE"""),"Practical tasks or projects")</f>
        <v>Practical tasks or projects</v>
      </c>
      <c r="I12" s="6"/>
      <c r="J12" s="6"/>
      <c r="K12" s="6"/>
      <c r="L12" s="14" t="str">
        <f ca="1">IFERROR(__xludf.dummyfunction("""COMPUTED_VALUE"""),"55-64")</f>
        <v>55-64</v>
      </c>
      <c r="M12" s="6"/>
      <c r="N12" s="6"/>
      <c r="O12" s="6"/>
      <c r="P12" s="6"/>
      <c r="Q12" s="6"/>
      <c r="R12" s="6"/>
      <c r="S12" s="6"/>
      <c r="T12" s="6"/>
      <c r="U12" s="6"/>
      <c r="V12" s="6"/>
      <c r="W12" s="6"/>
      <c r="X12" s="6"/>
      <c r="Y12" s="6"/>
      <c r="Z12" s="6"/>
      <c r="AA12" s="6"/>
      <c r="AB12" s="6"/>
    </row>
    <row r="13" spans="1:28" ht="14.25">
      <c r="A13" s="6" t="s">
        <v>386</v>
      </c>
      <c r="B13" s="13">
        <f ca="1">IFERROR(__xludf.dummyfunction("""COMPUTED_VALUE"""),46064.2507972569)</f>
        <v>46064.2507972569</v>
      </c>
      <c r="C13" s="6" t="str">
        <f ca="1">IFERROR(__xludf.dummyfunction("""COMPUTED_VALUE"""),"Individual")</f>
        <v>Individual</v>
      </c>
      <c r="D13" s="14">
        <f ca="1">IFERROR(__xludf.dummyfunction("""COMPUTED_VALUE"""),1)</f>
        <v>1</v>
      </c>
      <c r="E13" s="6" t="str">
        <f ca="1">IFERROR(__xludf.dummyfunction("""COMPUTED_VALUE"""),"Higher bills (higher prices of food, water, energy, etc.)")</f>
        <v>Higher bills (higher prices of food, water, energy, etc.)</v>
      </c>
      <c r="F13" s="6" t="str">
        <f ca="1">IFERROR(__xludf.dummyfunction("""COMPUTED_VALUE"""),"Composted or recycled waste")</f>
        <v>Composted or recycled waste</v>
      </c>
      <c r="G13" s="6" t="str">
        <f ca="1">IFERROR(__xludf.dummyfunction("""COMPUTED_VALUE"""),"I've done as much as I can")</f>
        <v>I've done as much as I can</v>
      </c>
      <c r="H13" s="6" t="str">
        <f ca="1">IFERROR(__xludf.dummyfunction("""COMPUTED_VALUE"""),"None of the above")</f>
        <v>None of the above</v>
      </c>
      <c r="I13" s="6"/>
      <c r="J13" s="6"/>
      <c r="K13" s="6"/>
      <c r="L13" s="14" t="str">
        <f ca="1">IFERROR(__xludf.dummyfunction("""COMPUTED_VALUE"""),"45-54")</f>
        <v>45-54</v>
      </c>
      <c r="M13" s="6"/>
      <c r="N13" s="6"/>
      <c r="O13" s="6"/>
      <c r="P13" s="6"/>
      <c r="Q13" s="6"/>
      <c r="R13" s="6"/>
      <c r="S13" s="6"/>
      <c r="T13" s="6"/>
      <c r="U13" s="6"/>
      <c r="V13" s="6"/>
      <c r="W13" s="6"/>
      <c r="X13" s="6"/>
      <c r="Y13" s="6"/>
      <c r="Z13" s="6"/>
      <c r="AA13" s="6"/>
      <c r="AB13" s="6"/>
    </row>
    <row r="14" spans="1:28" ht="57">
      <c r="A14" s="6" t="s">
        <v>386</v>
      </c>
      <c r="B14" s="13">
        <f ca="1">IFERROR(__xludf.dummyfunction("""COMPUTED_VALUE"""),46064.7441657176)</f>
        <v>46064.744165717602</v>
      </c>
      <c r="C14" s="6" t="str">
        <f ca="1">IFERROR(__xludf.dummyfunction("""COMPUTED_VALUE"""),"Household")</f>
        <v>Household</v>
      </c>
      <c r="D14" s="14">
        <f ca="1">IFERROR(__xludf.dummyfunction("""COMPUTED_VALUE"""),5)</f>
        <v>5</v>
      </c>
      <c r="E14" s="6" t="str">
        <f ca="1">IFERROR(__xludf.dummyfunction("""COMPUTED_VALUE"""),"The impact on my children and grandchildren, Loss of biodiversity, Floods and storms, Water shortages, Extreme heat/wildfires, Impacts of climate change on poorer communities elsewhere in the world")</f>
        <v>The impact on my children and grandchildren, Loss of biodiversity, Floods and storms, Water shortages, Extreme heat/wildfires, Impacts of climate change on poorer communities elsewhere in the world</v>
      </c>
      <c r="F14" s="6" t="str">
        <f ca="1">IFERROR(__xludf.dummyfunction("""COMPUTED_VALUE"""),"Nature friendly gardening (e.g. planting wildflowers, rewilding, using peat-free compost), Adopted a more climate-friendly diet (e.g. reduced meat consumption, buying local, buying food in season), Used lower carbon ways of travelling (e.g. walking, cycli"&amp;"ng, public transport), Installed insulation, Composted or recycled waste, Reduced water use (e.g. install water butts, shorter showers)")</f>
        <v>Nature friendly gardening (e.g. planting wildflowers, rewilding, using peat-free compost), Adopted a more climate-friendly diet (e.g. reduced meat consumption, buying local, buying food in season), Used lower carbon ways of travelling (e.g. walking, cycling, public transport), Installed insulation, Composted or recycled waste, Reduced water use (e.g. install water butts, shorter showers)</v>
      </c>
      <c r="G14" s="6" t="str">
        <f ca="1">IFERROR(__xludf.dummyfunction("""COMPUTED_VALUE"""),"I don't have the money")</f>
        <v>I don't have the money</v>
      </c>
      <c r="H14" s="6" t="str">
        <f ca="1">IFERROR(__xludf.dummyfunction("""COMPUTED_VALUE"""),"Information about what I can do (including talks/demonstrations)")</f>
        <v>Information about what I can do (including talks/demonstrations)</v>
      </c>
      <c r="I14" s="6"/>
      <c r="J14" s="6"/>
      <c r="K14" s="6"/>
      <c r="L14" s="14" t="str">
        <f ca="1">IFERROR(__xludf.dummyfunction("""COMPUTED_VALUE"""),"Over 65")</f>
        <v>Over 65</v>
      </c>
      <c r="M14" s="6"/>
      <c r="N14" s="6"/>
      <c r="O14" s="6"/>
      <c r="P14" s="6"/>
      <c r="Q14" s="6"/>
      <c r="R14" s="6"/>
      <c r="S14" s="6"/>
      <c r="T14" s="6"/>
      <c r="U14" s="6"/>
      <c r="V14" s="6"/>
      <c r="W14" s="6"/>
      <c r="X14" s="6"/>
      <c r="Y14" s="6"/>
      <c r="Z14" s="6"/>
      <c r="AA14" s="6"/>
      <c r="AB14" s="6"/>
    </row>
    <row r="15" spans="1:28" ht="57">
      <c r="A15" s="6" t="s">
        <v>386</v>
      </c>
      <c r="B15" s="13">
        <f ca="1">IFERROR(__xludf.dummyfunction("""COMPUTED_VALUE"""),46064.9629957523)</f>
        <v>46064.962995752299</v>
      </c>
      <c r="C15" s="6" t="str">
        <f ca="1">IFERROR(__xludf.dummyfunction("""COMPUTED_VALUE"""),"Individual")</f>
        <v>Individual</v>
      </c>
      <c r="D15" s="14">
        <f ca="1">IFERROR(__xludf.dummyfunction("""COMPUTED_VALUE"""),4)</f>
        <v>4</v>
      </c>
      <c r="E15" s="6" t="str">
        <f ca="1">IFERROR(__xludf.dummyfunction("""COMPUTED_VALUE"""),"The impact on my children and grandchildren, Loss of biodiversity, Floods and storms, Water shortages, Extreme heat/wildfires, Economic/political instability, Impacts of climate change on poorer communities elsewhere in the world, Climate migration, Groun"&amp;"d water flooding")</f>
        <v>The impact on my children and grandchildren, Loss of biodiversity, Floods and storms, Water shortages, Extreme heat/wildfires, Economic/political instability, Impacts of climate change on poorer communities elsewhere in the world, Climate migration, Ground water flooding</v>
      </c>
      <c r="F15" s="6" t="str">
        <f ca="1">IFERROR(__xludf.dummyfunction("""COMPUTED_VALUE"""),"Adopted a more climate-friendly diet (e.g. reduced meat consumption, buying local, buying food in season), Installed a greener heating system, Reused or repaired items, Composted or recycled waste, Taken political action (e.g. written to MP, taken part in"&amp;" campaigns or protests), Haven't flown in a plane for about 14 years.")</f>
        <v>Adopted a more climate-friendly diet (e.g. reduced meat consumption, buying local, buying food in season), Installed a greener heating system, Reused or repaired items, Composted or recycled waste, Taken political action (e.g. written to MP, taken part in campaigns or protests), Haven't flown in a plane for about 14 years.</v>
      </c>
      <c r="G15" s="6" t="str">
        <f ca="1">IFERROR(__xludf.dummyfunction("""COMPUTED_VALUE"""),"I often take the easy way out!")</f>
        <v>I often take the easy way out!</v>
      </c>
      <c r="H15" s="6" t="str">
        <f ca="1">IFERROR(__xludf.dummyfunction("""COMPUTED_VALUE"""),"Information about what I can do (including talks/demonstrations)")</f>
        <v>Information about what I can do (including talks/demonstrations)</v>
      </c>
      <c r="I15" s="6" t="str">
        <f ca="1">IFERROR(__xludf.dummyfunction("""COMPUTED_VALUE"""),"""20's Plenty"" throughout the village (including main road)")</f>
        <v>"20's Plenty" throughout the village (including main road)</v>
      </c>
      <c r="J15" s="6"/>
      <c r="K15" s="6"/>
      <c r="L15" s="14" t="str">
        <f ca="1">IFERROR(__xludf.dummyfunction("""COMPUTED_VALUE"""),"Over 65")</f>
        <v>Over 65</v>
      </c>
      <c r="M15" s="6"/>
      <c r="N15" s="6"/>
      <c r="O15" s="6"/>
      <c r="P15" s="6"/>
      <c r="Q15" s="6"/>
      <c r="R15" s="6"/>
      <c r="S15" s="6"/>
      <c r="T15" s="6"/>
      <c r="U15" s="6"/>
      <c r="V15" s="6"/>
      <c r="W15" s="6"/>
      <c r="X15" s="6"/>
      <c r="Y15" s="6"/>
      <c r="Z15" s="6"/>
      <c r="AA15" s="6"/>
      <c r="AB15" s="6"/>
    </row>
    <row r="16" spans="1:28" ht="57">
      <c r="A16" s="6" t="s">
        <v>386</v>
      </c>
      <c r="B16" s="13">
        <f ca="1">IFERROR(__xludf.dummyfunction("""COMPUTED_VALUE"""),46065.2859692014)</f>
        <v>46065.285969201403</v>
      </c>
      <c r="C16" s="6" t="str">
        <f ca="1">IFERROR(__xludf.dummyfunction("""COMPUTED_VALUE"""),"Individual")</f>
        <v>Individual</v>
      </c>
      <c r="D16" s="14">
        <f ca="1">IFERROR(__xludf.dummyfunction("""COMPUTED_VALUE"""),4)</f>
        <v>4</v>
      </c>
      <c r="E16" s="6" t="str">
        <f ca="1">IFERROR(__xludf.dummyfunction("""COMPUTED_VALUE"""),"The impact on my children and grandchildren, Loss of biodiversity, Floods and storms, Water shortages, Extreme heat/wildfires, Economic/political instability, Impacts of climate change on poorer communities elsewhere in the world")</f>
        <v>The impact on my children and grandchildren, Loss of biodiversity, Floods and storms, Water shortages, Extreme heat/wildfires, Economic/political instability, Impacts of climate change on poorer communities elsewhere in the world</v>
      </c>
      <c r="F16" s="6" t="str">
        <f ca="1">IFERROR(__xludf.dummyfunction("""COMPUTED_VALUE"""),"Nature friendly gardening (e.g. planting wildflowers, rewilding, using peat-free compost), Adopted a more climate-friendly diet (e.g. reduced meat consumption, buying local, buying food in season), Reduced my energy use, Reused or repaired items, Composte"&amp;"d or recycled waste, Talked to friends and family about climate change or actions I've taken")</f>
        <v>Nature friendly gardening (e.g. planting wildflowers, rewilding, using peat-free compost), Adopted a more climate-friendly diet (e.g. reduced meat consumption, buying local, buying food in season), Reduced my energy use, Reused or repaired items, Composted or recycled waste, Talked to friends and family about climate change or actions I've taken</v>
      </c>
      <c r="G16" s="6" t="str">
        <f ca="1">IFERROR(__xludf.dummyfunction("""COMPUTED_VALUE"""),"I don't know what I can do")</f>
        <v>I don't know what I can do</v>
      </c>
      <c r="H16" s="6" t="str">
        <f ca="1">IFERROR(__xludf.dummyfunction("""COMPUTED_VALUE"""),"Practical tasks or projects")</f>
        <v>Practical tasks or projects</v>
      </c>
      <c r="I16" s="6" t="str">
        <f ca="1">IFERROR(__xludf.dummyfunction("""COMPUTED_VALUE"""),"Community projects")</f>
        <v>Community projects</v>
      </c>
      <c r="J16" s="6" t="str">
        <f ca="1">IFERROR(__xludf.dummyfunction("""COMPUTED_VALUE"""),"Working on it!")</f>
        <v>Working on it!</v>
      </c>
      <c r="K16" s="6" t="str">
        <f ca="1">IFERROR(__xludf.dummyfunction("""COMPUTED_VALUE"""),"Well done - great this group has been set up")</f>
        <v>Well done - great this group has been set up</v>
      </c>
      <c r="L16" s="14" t="str">
        <f ca="1">IFERROR(__xludf.dummyfunction("""COMPUTED_VALUE"""),"45-54")</f>
        <v>45-54</v>
      </c>
      <c r="M16" s="6"/>
      <c r="N16" s="6"/>
      <c r="O16" s="6"/>
      <c r="P16" s="6"/>
      <c r="Q16" s="6"/>
      <c r="R16" s="6"/>
      <c r="S16" s="6"/>
      <c r="T16" s="6"/>
      <c r="U16" s="6"/>
      <c r="V16" s="6"/>
      <c r="W16" s="6"/>
      <c r="X16" s="6"/>
      <c r="Y16" s="6"/>
      <c r="Z16" s="6"/>
      <c r="AA16" s="6"/>
      <c r="AB16" s="6"/>
    </row>
    <row r="17" spans="1:28" ht="85.5">
      <c r="A17" s="6" t="s">
        <v>386</v>
      </c>
      <c r="B17" s="13">
        <f ca="1">IFERROR(__xludf.dummyfunction("""COMPUTED_VALUE"""),46065.4781397801)</f>
        <v>46065.478139780098</v>
      </c>
      <c r="C17" s="6" t="str">
        <f ca="1">IFERROR(__xludf.dummyfunction("""COMPUTED_VALUE"""),"Household")</f>
        <v>Household</v>
      </c>
      <c r="D17" s="14">
        <f ca="1">IFERROR(__xludf.dummyfunction("""COMPUTED_VALUE"""),5)</f>
        <v>5</v>
      </c>
      <c r="E17" s="6" t="str">
        <f ca="1">IFERROR(__xludf.dummyfunction("""COMPUTED_VALUE"""),"The impact on my children and grandchildren, Loss of biodiversity, Impacts of climate change on poorer communities elsewhere in the world")</f>
        <v>The impact on my children and grandchildren, Loss of biodiversity, Impacts of climate change on poorer communities elsewhere in the world</v>
      </c>
      <c r="F17" s="6" t="str">
        <f ca="1">IFERROR(__xludf.dummyfunction("""COMPUTED_VALUE"""),"Nature friendly gardening (e.g. planting wildflowers, rewilding, using peat-free compost), Adopted a more climate-friendly diet (e.g. reduced meat consumption, buying local, buying food in season), Reduced my travel, Used lower carbon ways of travelling ("&amp;"e.g. walking, cycling, public transport), Invested in an electric/hybrid car, Reduced my energy use, Reused or repaired items, Composted or recycled waste, Reduced water use (e.g. install water butts, shorter showers), Talked to friends and family about c"&amp;"limate change or actions I've taken")</f>
        <v>Nature friendly gardening (e.g. planting wildflowers, rewilding, using peat-free compost), Adopted a more climate-friendly diet (e.g. reduced meat consumption, buying local, buying food in season), Reduced my travel, Used lower carbon ways of travelling (e.g. walking, cycling, public transport), Invested in an electric/hybrid car, Reduced my energy use, Reused or repaired items, Composted or recycled waste, Reduced water use (e.g. install water butts, shorter showers), Talked to friends and family about climate change or actions I've taken</v>
      </c>
      <c r="G17" s="6" t="str">
        <f ca="1">IFERROR(__xludf.dummyfunction("""COMPUTED_VALUE"""),"I don't know what I can do, I don't like thinking about climate change")</f>
        <v>I don't know what I can do, I don't like thinking about climate change</v>
      </c>
      <c r="H17" s="6" t="str">
        <f ca="1">IFERROR(__xludf.dummyfunction("""COMPUTED_VALUE"""),"Information about what I can do (including talks/demonstrations), Practical tasks or projects")</f>
        <v>Information about what I can do (including talks/demonstrations), Practical tasks or projects</v>
      </c>
      <c r="I17" s="6"/>
      <c r="J17" s="6"/>
      <c r="K17" s="6"/>
      <c r="L17" s="14" t="str">
        <f ca="1">IFERROR(__xludf.dummyfunction("""COMPUTED_VALUE"""),"55-64")</f>
        <v>55-64</v>
      </c>
      <c r="M17" s="6"/>
      <c r="N17" s="6"/>
      <c r="O17" s="6"/>
      <c r="P17" s="6"/>
      <c r="Q17" s="6"/>
      <c r="R17" s="6"/>
      <c r="S17" s="6"/>
      <c r="T17" s="6"/>
      <c r="U17" s="6"/>
      <c r="V17" s="6"/>
      <c r="W17" s="6"/>
      <c r="X17" s="6"/>
      <c r="Y17" s="6"/>
      <c r="Z17" s="6"/>
      <c r="AA17" s="6"/>
      <c r="AB17" s="6"/>
    </row>
    <row r="18" spans="1:28" ht="99.75">
      <c r="A18" s="6" t="s">
        <v>386</v>
      </c>
      <c r="B18" s="13">
        <f ca="1">IFERROR(__xludf.dummyfunction("""COMPUTED_VALUE"""),46065.5072804745)</f>
        <v>46065.5072804745</v>
      </c>
      <c r="C18" s="6" t="str">
        <f ca="1">IFERROR(__xludf.dummyfunction("""COMPUTED_VALUE"""),"Individual")</f>
        <v>Individual</v>
      </c>
      <c r="D18" s="14">
        <f ca="1">IFERROR(__xludf.dummyfunction("""COMPUTED_VALUE"""),5)</f>
        <v>5</v>
      </c>
      <c r="E18" s="6" t="str">
        <f ca="1">IFERROR(__xludf.dummyfunction("""COMPUTED_VALUE"""),"Loss of biodiversity, Water shortages, Extreme heat/wildfires, Economic/political instability, Impacts of climate change on poorer communities elsewhere in the world")</f>
        <v>Loss of biodiversity, Water shortages, Extreme heat/wildfires, Economic/political instability, Impacts of climate change on poorer communities elsewhere in the world</v>
      </c>
      <c r="F18" s="6" t="str">
        <f ca="1">IFERROR(__xludf.dummyfunction("""COMPUTED_VALUE"""),"Adopted a more climate-friendly diet (e.g. reduced meat consumption, buying local, buying food in season), Reduced my travel, Used lower carbon ways of travelling (e.g. walking, cycling, public transport), Installed insulation, Reused or repaired items, C"&amp;"omposted or recycled waste, Moved my money to sustainable banks or invested in sustainable funds, Joined a climate or environmental group, Talked to friends and family about climate change or actions I've taken")</f>
        <v>Adopted a more climate-friendly diet (e.g. reduced meat consumption, buying local, buying food in season), Reduced my travel, Used lower carbon ways of travelling (e.g. walking, cycling, public transport), Installed insulation, Reused or repaired items, Composted or recycled waste, Moved my money to sustainable banks or invested in sustainable funds, Joined a climate or environmental group, Talked to friends and family about climate change or actions I've taken</v>
      </c>
      <c r="G18" s="6" t="str">
        <f ca="1">IFERROR(__xludf.dummyfunction("""COMPUTED_VALUE"""),"I feel stuck")</f>
        <v>I feel stuck</v>
      </c>
      <c r="H18" s="6" t="str">
        <f ca="1">IFERROR(__xludf.dummyfunction("""COMPUTED_VALUE"""),"Information about what I can do (including talks/demonstrations), Joining others with similar interests so we can create action together, Practical tasks or projects, Sharing my skills and knowledge with others, Setting up locally run projects or campaign"&amp;"s, Attending protests")</f>
        <v>Information about what I can do (including talks/demonstrations), Joining others with similar interests so we can create action together, Practical tasks or projects, Sharing my skills and knowledge with others, Setting up locally run projects or campaigns, Attending protests</v>
      </c>
      <c r="I18" s="6" t="str">
        <f ca="1">IFERROR(__xludf.dummyfunction("""COMPUTED_VALUE"""),"create a proper cycle connection between Twyford and Winchester; focus on getting community involved in climate transition with small projects to build community cohesion on climate")</f>
        <v>create a proper cycle connection between Twyford and Winchester; focus on getting community involved in climate transition with small projects to build community cohesion on climate</v>
      </c>
      <c r="J18" s="6"/>
      <c r="K18" s="6"/>
      <c r="L18" s="14" t="str">
        <f ca="1">IFERROR(__xludf.dummyfunction("""COMPUTED_VALUE"""),"16-24")</f>
        <v>16-24</v>
      </c>
      <c r="M18" s="6"/>
      <c r="N18" s="6"/>
      <c r="O18" s="6"/>
      <c r="P18" s="6"/>
      <c r="Q18" s="6"/>
      <c r="R18" s="6"/>
      <c r="S18" s="6"/>
      <c r="T18" s="6"/>
      <c r="U18" s="6"/>
      <c r="V18" s="6"/>
      <c r="W18" s="6"/>
      <c r="X18" s="6"/>
      <c r="Y18" s="6"/>
      <c r="Z18" s="6"/>
      <c r="AA18" s="6"/>
      <c r="AB18" s="6"/>
    </row>
    <row r="19" spans="1:28" ht="57">
      <c r="A19" s="6" t="s">
        <v>386</v>
      </c>
      <c r="B19" s="13">
        <f ca="1">IFERROR(__xludf.dummyfunction("""COMPUTED_VALUE"""),46065.5095351852)</f>
        <v>46065.5095351852</v>
      </c>
      <c r="C19" s="6" t="str">
        <f ca="1">IFERROR(__xludf.dummyfunction("""COMPUTED_VALUE"""),"Individual")</f>
        <v>Individual</v>
      </c>
      <c r="D19" s="14">
        <f ca="1">IFERROR(__xludf.dummyfunction("""COMPUTED_VALUE"""),5)</f>
        <v>5</v>
      </c>
      <c r="E19" s="6" t="str">
        <f ca="1">IFERROR(__xludf.dummyfunction("""COMPUTED_VALUE"""),"The impact on my children and grandchildren, Floods and storms, Extreme heat/wildfires, Higher bills (higher prices of food, water, energy, etc.), Economic/political instability, Impacts of climate change on poorer communities elsewhere in the world, Clim"&amp;"ate migration")</f>
        <v>The impact on my children and grandchildren, Floods and storms, Extreme heat/wildfires, Higher bills (higher prices of food, water, energy, etc.), Economic/political instability, Impacts of climate change on poorer communities elsewhere in the world, Climate migration</v>
      </c>
      <c r="F19" s="6" t="str">
        <f ca="1">IFERROR(__xludf.dummyfunction("""COMPUTED_VALUE"""),"Nature friendly gardening (e.g. planting wildflowers, rewilding, using peat-free compost), Adopted a more climate-friendly diet (e.g. reduced meat consumption, buying local, buying food in season), Used lower carbon ways of travelling (e.g. walking, cycli"&amp;"ng, public transport), Reused or repaired items, Composted or recycled waste")</f>
        <v>Nature friendly gardening (e.g. planting wildflowers, rewilding, using peat-free compost), Adopted a more climate-friendly diet (e.g. reduced meat consumption, buying local, buying food in season), Used lower carbon ways of travelling (e.g. walking, cycling, public transport), Reused or repaired items, Composted or recycled waste</v>
      </c>
      <c r="G19" s="6" t="str">
        <f ca="1">IFERROR(__xludf.dummyfunction("""COMPUTED_VALUE"""),"I believe it's up to those in power to lead")</f>
        <v>I believe it's up to those in power to lead</v>
      </c>
      <c r="H19" s="6" t="str">
        <f ca="1">IFERROR(__xludf.dummyfunction("""COMPUTED_VALUE"""),"Practical tasks or projects")</f>
        <v>Practical tasks or projects</v>
      </c>
      <c r="I19" s="6" t="str">
        <f ca="1">IFERROR(__xludf.dummyfunction("""COMPUTED_VALUE"""),"An on-line means to list items for reuse. I know there is FB market place, but there are people like me who do not have a FB account -  my way to reduce energy use!")</f>
        <v>An on-line means to list items for reuse. I know there is FB market place, but there are people like me who do not have a FB account -  my way to reduce energy use!</v>
      </c>
      <c r="J19" s="6" t="str">
        <f ca="1">IFERROR(__xludf.dummyfunction("""COMPUTED_VALUE"""),"Climate Action in Twyford (CAT)")</f>
        <v>Climate Action in Twyford (CAT)</v>
      </c>
      <c r="K19" s="6"/>
      <c r="L19" s="14" t="str">
        <f ca="1">IFERROR(__xludf.dummyfunction("""COMPUTED_VALUE"""),"Over 65")</f>
        <v>Over 65</v>
      </c>
      <c r="M19" s="6"/>
      <c r="N19" s="6"/>
      <c r="O19" s="6"/>
      <c r="P19" s="6"/>
      <c r="Q19" s="6"/>
      <c r="R19" s="6"/>
      <c r="S19" s="6"/>
      <c r="T19" s="6"/>
      <c r="U19" s="6"/>
      <c r="V19" s="6"/>
      <c r="W19" s="6"/>
      <c r="X19" s="6"/>
      <c r="Y19" s="6"/>
      <c r="Z19" s="6"/>
      <c r="AA19" s="6"/>
      <c r="AB19" s="6"/>
    </row>
    <row r="20" spans="1:28" ht="99.75">
      <c r="A20" s="6" t="s">
        <v>386</v>
      </c>
      <c r="B20" s="13">
        <f ca="1">IFERROR(__xludf.dummyfunction("""COMPUTED_VALUE"""),46065.6389907639)</f>
        <v>46065.638990763902</v>
      </c>
      <c r="C20" s="6" t="str">
        <f ca="1">IFERROR(__xludf.dummyfunction("""COMPUTED_VALUE"""),"Individual")</f>
        <v>Individual</v>
      </c>
      <c r="D20" s="14">
        <f ca="1">IFERROR(__xludf.dummyfunction("""COMPUTED_VALUE"""),5)</f>
        <v>5</v>
      </c>
      <c r="E20" s="6" t="str">
        <f ca="1">IFERROR(__xludf.dummyfunction("""COMPUTED_VALUE"""),"The impact on my children and grandchildren, Loss of biodiversity, Floods and storms, Water shortages, Extreme heat/wildfires, Higher bills (higher prices of food, water, energy, etc.), Impacts of climate change on poorer communities elsewhere in the worl"&amp;"d, People travelling by air and polution harming the environment!")</f>
        <v>The impact on my children and grandchildren, Loss of biodiversity, Floods and storms, Water shortages, Extreme heat/wildfires, Higher bills (higher prices of food, water, energy, etc.), Impacts of climate change on poorer communities elsewhere in the world, People travelling by air and polution harming the environment!</v>
      </c>
      <c r="F20" s="6" t="str">
        <f ca="1">IFERROR(__xludf.dummyfunction("""COMPUTED_VALUE"""),"Nature friendly gardening (e.g. planting wildflowers, rewilding, using peat-free compost), Adopted a more climate-friendly diet (e.g. reduced meat consumption, buying local, buying food in season), Reduced my travel, Used lower carbon ways of travelling ("&amp;"e.g. walking, cycling, public transport), Installed insulation, Reused or repaired items, Composted or recycled waste, Taken political action (e.g. written to MP, taken part in campaigns or protests), Joined a climate or environmental group, Talked to fri"&amp;"ends and family about climate change or actions I've taken, Asking for popular bus route to be reinstated to reduce traffic in City.")</f>
        <v>Nature friendly gardening (e.g. planting wildflowers, rewilding, using peat-free compost), Adopted a more climate-friendly diet (e.g. reduced meat consumption, buying local, buying food in season), Reduced my travel, Used lower carbon ways of travelling (e.g. walking, cycling, public transport), Installed insulation, Reused or repaired items, Composted or recycled waste, Taken political action (e.g. written to MP, taken part in campaigns or protests), Joined a climate or environmental group, Talked to friends and family about climate change or actions I've taken, Asking for popular bus route to be reinstated to reduce traffic in City.</v>
      </c>
      <c r="G20" s="6" t="str">
        <f ca="1">IFERROR(__xludf.dummyfunction("""COMPUTED_VALUE"""),"I don't have the money, I don't have the time, Talking to people about the choices they make. Looking at alternatives")</f>
        <v>I don't have the money, I don't have the time, Talking to people about the choices they make. Looking at alternatives</v>
      </c>
      <c r="H20" s="6" t="str">
        <f ca="1">IFERROR(__xludf.dummyfunction("""COMPUTED_VALUE"""),"Information about what I can do (including talks/demonstrations), Practical tasks or projects, Sharing my skills and knowledge with others, Education on climate change for children and adults")</f>
        <v>Information about what I can do (including talks/demonstrations), Practical tasks or projects, Sharing my skills and knowledge with others, Education on climate change for children and adults</v>
      </c>
      <c r="I20" s="6" t="str">
        <f ca="1">IFERROR(__xludf.dummyfunction("""COMPUTED_VALUE""")," Limit travel and reduce pollution. Keep gardens and open spaces green.")</f>
        <v xml:space="preserve"> Limit travel and reduce pollution. Keep gardens and open spaces green.</v>
      </c>
      <c r="J20" s="6"/>
      <c r="K20" s="6" t="str">
        <f ca="1">IFERROR(__xludf.dummyfunction("""COMPUTED_VALUE""")," Joined up thinking about the environment. Taking care of green spaces. Fly tipping and litter")</f>
        <v xml:space="preserve"> Joined up thinking about the environment. Taking care of green spaces. Fly tipping and litter</v>
      </c>
      <c r="L20" s="14" t="str">
        <f ca="1">IFERROR(__xludf.dummyfunction("""COMPUTED_VALUE"""),"Over 65")</f>
        <v>Over 65</v>
      </c>
      <c r="M20" s="6"/>
      <c r="N20" s="6"/>
      <c r="O20" s="6"/>
      <c r="P20" s="6"/>
      <c r="Q20" s="6"/>
      <c r="R20" s="6"/>
      <c r="S20" s="6"/>
      <c r="T20" s="6"/>
      <c r="U20" s="6"/>
      <c r="V20" s="6"/>
      <c r="W20" s="6"/>
      <c r="X20" s="6"/>
      <c r="Y20" s="6"/>
      <c r="Z20" s="6"/>
      <c r="AA20" s="6"/>
      <c r="AB20" s="6"/>
    </row>
    <row r="21" spans="1:28" ht="28.5">
      <c r="A21" s="6" t="s">
        <v>386</v>
      </c>
      <c r="B21" s="13">
        <f ca="1">IFERROR(__xludf.dummyfunction("""COMPUTED_VALUE"""),46066.4139584491)</f>
        <v>46066.413958449099</v>
      </c>
      <c r="C21" s="6" t="str">
        <f ca="1">IFERROR(__xludf.dummyfunction("""COMPUTED_VALUE"""),"Household")</f>
        <v>Household</v>
      </c>
      <c r="D21" s="14">
        <f ca="1">IFERROR(__xludf.dummyfunction("""COMPUTED_VALUE"""),3)</f>
        <v>3</v>
      </c>
      <c r="E21" s="6" t="str">
        <f ca="1">IFERROR(__xludf.dummyfunction("""COMPUTED_VALUE"""),"The impact on my children and grandchildren, Higher bills (higher prices of food, water, energy, etc.), Economic/political instability")</f>
        <v>The impact on my children and grandchildren, Higher bills (higher prices of food, water, energy, etc.), Economic/political instability</v>
      </c>
      <c r="F21" s="6" t="str">
        <f ca="1">IFERROR(__xludf.dummyfunction("""COMPUTED_VALUE"""),"Hired or borrowed items instead of buying, Reused or repaired items")</f>
        <v>Hired or borrowed items instead of buying, Reused or repaired items</v>
      </c>
      <c r="G21" s="6" t="str">
        <f ca="1">IFERROR(__xludf.dummyfunction("""COMPUTED_VALUE"""),"I don't have the time, I believe it's up to those in power to lead")</f>
        <v>I don't have the time, I believe it's up to those in power to lead</v>
      </c>
      <c r="H21" s="6" t="str">
        <f ca="1">IFERROR(__xludf.dummyfunction("""COMPUTED_VALUE"""),"Opportunities to talk about my feelings about climate change, Practical tasks or projects")</f>
        <v>Opportunities to talk about my feelings about climate change, Practical tasks or projects</v>
      </c>
      <c r="I21" s="6"/>
      <c r="J21" s="6"/>
      <c r="K21" s="6"/>
      <c r="L21" s="14" t="str">
        <f ca="1">IFERROR(__xludf.dummyfunction("""COMPUTED_VALUE"""),"35-44")</f>
        <v>35-44</v>
      </c>
      <c r="M21" s="6"/>
      <c r="N21" s="6"/>
      <c r="O21" s="6"/>
      <c r="P21" s="6"/>
      <c r="Q21" s="6"/>
      <c r="R21" s="6"/>
      <c r="S21" s="6"/>
      <c r="T21" s="6"/>
      <c r="U21" s="6"/>
      <c r="V21" s="6"/>
      <c r="W21" s="6"/>
      <c r="X21" s="6"/>
      <c r="Y21" s="6"/>
      <c r="Z21" s="6"/>
      <c r="AA21" s="6"/>
      <c r="AB21" s="6"/>
    </row>
    <row r="22" spans="1:28" ht="114">
      <c r="A22" s="6" t="s">
        <v>386</v>
      </c>
      <c r="B22" s="13">
        <f ca="1">IFERROR(__xludf.dummyfunction("""COMPUTED_VALUE"""),46068.6119536574)</f>
        <v>46068.611953657397</v>
      </c>
      <c r="C22" s="6" t="str">
        <f ca="1">IFERROR(__xludf.dummyfunction("""COMPUTED_VALUE"""),"Individual")</f>
        <v>Individual</v>
      </c>
      <c r="D22" s="14">
        <f ca="1">IFERROR(__xludf.dummyfunction("""COMPUTED_VALUE"""),5)</f>
        <v>5</v>
      </c>
      <c r="E22" s="6" t="str">
        <f ca="1">IFERROR(__xludf.dummyfunction("""COMPUTED_VALUE"""),"Loss of biodiversity, Floods and storms, Water shortages, Extreme heat/wildfires, Higher bills (higher prices of food, water, energy, etc.), Economic/political instability, Impacts of climate change on poorer communities elsewhere in the world")</f>
        <v>Loss of biodiversity, Floods and storms, Water shortages, Extreme heat/wildfires, Higher bills (higher prices of food, water, energy, etc.), Economic/political instability, Impacts of climate change on poorer communities elsewhere in the world</v>
      </c>
      <c r="F22" s="6" t="str">
        <f ca="1">IFERROR(__xludf.dummyfunction("""COMPUTED_VALUE"""),"Nature friendly gardening (e.g. planting wildflowers, rewilding, using peat-free compost), Adopted a more climate-friendly diet (e.g. reduced meat consumption, buying local, buying food in season), Reduced my travel, Used lower carbon ways of travelling ("&amp;"e.g. walking, cycling, public transport), Reduced my energy use, Installed a greener heating system, Hired or borrowed items instead of buying, Reused or repaired items, Composted or recycled waste, Reduced water use (e.g. install water butts, shorter sho"&amp;"wers), Moved my money to sustainable banks or invested in sustainable funds, Taken political action (e.g. written to MP, taken part in campaigns or protests), Joined a climate or environmental group, Talked to friends and family about climate change or ac"&amp;"tions I've taken")</f>
        <v>Nature friendly gardening (e.g. planting wildflowers, rewilding, using peat-free compost), Adopted a more climate-friendly diet (e.g. reduced meat consumption, buying local, buying food in season), Reduced my travel, Used lower carbon ways of travelling (e.g. walking, cycling, public transport), Reduced my energy use, Installed a greener heating system, Hired or borrowed items instead of buying, Reused or repaired items, Composted or recycled waste, Reduced water use (e.g. install water butts, shorter showers), Moved my money to sustainable banks or invested in sustainable funds, Taken political action (e.g. written to MP, taken part in campaigns or protests), Joined a climate or environmental group, Talked to friends and family about climate change or actions I've taken</v>
      </c>
      <c r="G22" s="6" t="str">
        <f ca="1">IFERROR(__xludf.dummyfunction("""COMPUTED_VALUE"""),"I don't have the time")</f>
        <v>I don't have the time</v>
      </c>
      <c r="H22" s="6" t="str">
        <f ca="1">IFERROR(__xludf.dummyfunction("""COMPUTED_VALUE"""),"Information about what I can do (including talks/demonstrations), Practical tasks or projects, Attending protests")</f>
        <v>Information about what I can do (including talks/demonstrations), Practical tasks or projects, Attending protests</v>
      </c>
      <c r="I22" s="6" t="str">
        <f ca="1">IFERROR(__xludf.dummyfunction("""COMPUTED_VALUE"""),"Reduce heavy goods traffic through the village, reduced the speed.limit and campaign for a better bus and train service. ")</f>
        <v xml:space="preserve">Reduce heavy goods traffic through the village, reduced the speed.limit and campaign for a better bus and train service. </v>
      </c>
      <c r="J22" s="6"/>
      <c r="K22" s="6"/>
      <c r="L22" s="14" t="str">
        <f ca="1">IFERROR(__xludf.dummyfunction("""COMPUTED_VALUE"""),"45-54")</f>
        <v>45-54</v>
      </c>
      <c r="M22" s="6"/>
      <c r="N22" s="6"/>
      <c r="O22" s="6"/>
      <c r="P22" s="6"/>
      <c r="Q22" s="6"/>
      <c r="R22" s="6"/>
      <c r="S22" s="6"/>
      <c r="T22" s="6"/>
      <c r="U22" s="6"/>
      <c r="V22" s="6"/>
      <c r="W22" s="6"/>
      <c r="X22" s="6"/>
      <c r="Y22" s="6"/>
      <c r="Z22" s="6"/>
      <c r="AA22" s="6"/>
      <c r="AB22" s="6"/>
    </row>
    <row r="23" spans="1:28" ht="71.25">
      <c r="A23" s="6" t="s">
        <v>386</v>
      </c>
      <c r="B23" s="13">
        <f ca="1">IFERROR(__xludf.dummyfunction("""COMPUTED_VALUE"""),46072.5714138773)</f>
        <v>46072.571413877296</v>
      </c>
      <c r="C23" s="6" t="str">
        <f ca="1">IFERROR(__xludf.dummyfunction("""COMPUTED_VALUE"""),"Individual")</f>
        <v>Individual</v>
      </c>
      <c r="D23" s="14">
        <f ca="1">IFERROR(__xludf.dummyfunction("""COMPUTED_VALUE"""),4)</f>
        <v>4</v>
      </c>
      <c r="E23" s="6" t="str">
        <f ca="1">IFERROR(__xludf.dummyfunction("""COMPUTED_VALUE"""),"The impact on my children and grandchildren, Loss of biodiversity, Impacts of climate change on poorer communities elsewhere in the world")</f>
        <v>The impact on my children and grandchildren, Loss of biodiversity, Impacts of climate change on poorer communities elsewhere in the world</v>
      </c>
      <c r="F23" s="6" t="str">
        <f ca="1">IFERROR(__xludf.dummyfunction("""COMPUTED_VALUE"""),"Adopted a more climate-friendly diet (e.g. reduced meat consumption, buying local, buying food in season), Reduced my travel, Used lower carbon ways of travelling (e.g. walking, cycling, public transport), Reduced my energy use, Hired or borrowed items in"&amp;"stead of buying, Composted or recycled waste, Reduced water use (e.g. install water butts, shorter showers), Talked to friends and family about climate change or actions I've taken")</f>
        <v>Adopted a more climate-friendly diet (e.g. reduced meat consumption, buying local, buying food in season), Reduced my travel, Used lower carbon ways of travelling (e.g. walking, cycling, public transport), Reduced my energy use, Hired or borrowed items instead of buying, Composted or recycled waste, Reduced water use (e.g. install water butts, shorter showers), Talked to friends and family about climate change or actions I've taken</v>
      </c>
      <c r="G23" s="6" t="str">
        <f ca="1">IFERROR(__xludf.dummyfunction("""COMPUTED_VALUE"""),"I don't have the money")</f>
        <v>I don't have the money</v>
      </c>
      <c r="H23" s="6" t="str">
        <f ca="1">IFERROR(__xludf.dummyfunction("""COMPUTED_VALUE"""),"Information about what I can do (including talks/demonstrations)")</f>
        <v>Information about what I can do (including talks/demonstrations)</v>
      </c>
      <c r="I23" s="6" t="str">
        <f ca="1">IFERROR(__xludf.dummyfunction("""COMPUTED_VALUE"""),"Educating people on what they can do ")</f>
        <v xml:space="preserve">Educating people on what they can do </v>
      </c>
      <c r="J23" s="6"/>
      <c r="K23" s="6"/>
      <c r="L23" s="14" t="str">
        <f ca="1">IFERROR(__xludf.dummyfunction("""COMPUTED_VALUE"""),"55-64")</f>
        <v>55-64</v>
      </c>
      <c r="M23" s="6"/>
      <c r="N23" s="6"/>
      <c r="O23" s="6"/>
      <c r="P23" s="6"/>
      <c r="Q23" s="6"/>
      <c r="R23" s="6"/>
      <c r="S23" s="6"/>
      <c r="T23" s="6"/>
      <c r="U23" s="6"/>
      <c r="V23" s="6"/>
      <c r="W23" s="6"/>
      <c r="X23" s="6"/>
      <c r="Y23" s="6"/>
      <c r="Z23" s="6"/>
      <c r="AA23" s="6"/>
      <c r="AB23" s="6"/>
    </row>
    <row r="24" spans="1:28" ht="57">
      <c r="A24" s="6" t="s">
        <v>386</v>
      </c>
      <c r="B24" s="13">
        <f ca="1">IFERROR(__xludf.dummyfunction("""COMPUTED_VALUE"""),46082.538905463)</f>
        <v>46082.538905463</v>
      </c>
      <c r="C24" s="6" t="str">
        <f ca="1">IFERROR(__xludf.dummyfunction("""COMPUTED_VALUE"""),"Individual")</f>
        <v>Individual</v>
      </c>
      <c r="D24" s="14">
        <f ca="1">IFERROR(__xludf.dummyfunction("""COMPUTED_VALUE"""),3)</f>
        <v>3</v>
      </c>
      <c r="E24" s="6" t="str">
        <f ca="1">IFERROR(__xludf.dummyfunction("""COMPUTED_VALUE"""),"Loss of biodiversity, Higher bills (higher prices of food, water, energy, etc.), Impacts of climate change on poorer communities elsewhere in the world")</f>
        <v>Loss of biodiversity, Higher bills (higher prices of food, water, energy, etc.), Impacts of climate change on poorer communities elsewhere in the world</v>
      </c>
      <c r="F24" s="6" t="str">
        <f ca="1">IFERROR(__xludf.dummyfunction("""COMPUTED_VALUE"""),"Nature friendly gardening (e.g. planting wildflowers, rewilding, using peat-free compost), Used lower carbon ways of travelling (e.g. walking, cycling, public transport), Reduced my energy use, Installed insulation, Hired or borrowed items instead of buyi"&amp;"ng, Reused or repaired items, Composted or recycled waste, Reduced water use (e.g. install water butts, shorter showers)")</f>
        <v>Nature friendly gardening (e.g. planting wildflowers, rewilding, using peat-free compost), Used lower carbon ways of travelling (e.g. walking, cycling, public transport), Reduced my energy use, Installed insulation, Hired or borrowed items instead of buying, Reused or repaired items, Composted or recycled waste, Reduced water use (e.g. install water butts, shorter showers)</v>
      </c>
      <c r="G24" s="6" t="str">
        <f ca="1">IFERROR(__xludf.dummyfunction("""COMPUTED_VALUE"""),"I don't know what I can do, I don't believe I can have an impact")</f>
        <v>I don't know what I can do, I don't believe I can have an impact</v>
      </c>
      <c r="H24" s="6" t="str">
        <f ca="1">IFERROR(__xludf.dummyfunction("""COMPUTED_VALUE"""),"Information about what I can do (including talks/demonstrations), Practical tasks or projects, Setting up locally run projects or campaigns")</f>
        <v>Information about what I can do (including talks/demonstrations), Practical tasks or projects, Setting up locally run projects or campaigns</v>
      </c>
      <c r="I24" s="6" t="str">
        <f ca="1">IFERROR(__xludf.dummyfunction("""COMPUTED_VALUE"""),"Take some ownership instead of saying 'why haven't they done something' ....whoever they might be !")</f>
        <v>Take some ownership instead of saying 'why haven't they done something' ....whoever they might be !</v>
      </c>
      <c r="J24" s="6"/>
      <c r="K24" s="6"/>
      <c r="L24" s="14" t="str">
        <f ca="1">IFERROR(__xludf.dummyfunction("""COMPUTED_VALUE"""),"55-64")</f>
        <v>55-64</v>
      </c>
      <c r="M24" s="6"/>
      <c r="N24" s="6"/>
      <c r="O24" s="6"/>
      <c r="P24" s="6"/>
      <c r="Q24" s="6"/>
      <c r="R24" s="6"/>
      <c r="S24" s="6"/>
      <c r="T24" s="6"/>
      <c r="U24" s="6"/>
      <c r="V24" s="6"/>
      <c r="W24" s="6"/>
      <c r="X24" s="6"/>
      <c r="Y24" s="6"/>
      <c r="Z24" s="6"/>
      <c r="AA24" s="6"/>
      <c r="AB24" s="6"/>
    </row>
    <row r="25" spans="1:28" ht="128.25">
      <c r="A25" s="6" t="s">
        <v>386</v>
      </c>
      <c r="B25" s="13">
        <f ca="1">IFERROR(__xludf.dummyfunction("""COMPUTED_VALUE"""),46082.5502379745)</f>
        <v>46082.550237974501</v>
      </c>
      <c r="C25" s="6" t="str">
        <f ca="1">IFERROR(__xludf.dummyfunction("""COMPUTED_VALUE"""),"Household")</f>
        <v>Household</v>
      </c>
      <c r="D25" s="14">
        <f ca="1">IFERROR(__xludf.dummyfunction("""COMPUTED_VALUE"""),5)</f>
        <v>5</v>
      </c>
      <c r="E25" s="6" t="str">
        <f ca="1">IFERROR(__xludf.dummyfunction("""COMPUTED_VALUE"""),"Floods and storms, Economic/political instability, Impacts of climate change on poorer communities elsewhere in the world")</f>
        <v>Floods and storms, Economic/political instability, Impacts of climate change on poorer communities elsewhere in the world</v>
      </c>
      <c r="F25" s="6" t="str">
        <f ca="1">IFERROR(__xludf.dummyfunction("""COMPUTED_VALUE"""),"Nature friendly gardening (e.g. planting wildflowers, rewilding, using peat-free compost), Adopted a more climate-friendly diet (e.g. reduced meat consumption, buying local, buying food in season), Used lower carbon ways of travelling (e.g. walking, cycli"&amp;"ng, public transport), Invested in an electric/hybrid car, Reduced my energy use, Installed insulation, Installed a greener heating system, Hired or borrowed items instead of buying, Reused or repaired items, Composted or recycled waste, Reduced flood ris"&amp;"k by replacing solid surfaces with permeable surfaces, Reduced water use (e.g. install water butts, shorter showers), Taken political action (e.g. written to MP, taken part in campaigns or protests), Joined a climate or environmental group, Talked to frie"&amp;"nds and family about climate change or actions I've taken, Fitred an air source heat pump 5 years ago. ")</f>
        <v xml:space="preserve">Nature friendly gardening (e.g. planting wildflowers, rewilding, using peat-free compost), Adopted a more climate-friendly diet (e.g. reduced meat consumption, buying local, buying food in season), Used lower carbon ways of travelling (e.g. walking, cycling, public transport), Invested in an electric/hybrid car, Reduced my energy use, Installed insulation, Installed a greener heating system, Hired or borrowed items instead of buying, Reused or repaired items, Composted or recycled waste, Reduced flood risk by replacing solid surfaces with permeable surfaces, Reduced water use (e.g. install water butts, shorter showers), Taken political action (e.g. written to MP, taken part in campaigns or protests), Joined a climate or environmental group, Talked to friends and family about climate change or actions I've taken, Fitred an air source heat pump 5 years ago. </v>
      </c>
      <c r="G25" s="6" t="str">
        <f ca="1">IFERROR(__xludf.dummyfunction("""COMPUTED_VALUE"""),"I feel stuck, Climate change deniers in power. Trump terrifies me. Climate ")</f>
        <v xml:space="preserve">I feel stuck, Climate change deniers in power. Trump terrifies me. Climate </v>
      </c>
      <c r="H25" s="6" t="str">
        <f ca="1">IFERROR(__xludf.dummyfunction("""COMPUTED_VALUE"""),"Practical tasks or projects")</f>
        <v>Practical tasks or projects</v>
      </c>
      <c r="I25" s="6" t="str">
        <f ca="1">IFERROR(__xludf.dummyfunction("""COMPUTED_VALUE"""),"Not sure")</f>
        <v>Not sure</v>
      </c>
      <c r="J25" s="6"/>
      <c r="K25" s="6"/>
      <c r="L25" s="14" t="str">
        <f ca="1">IFERROR(__xludf.dummyfunction("""COMPUTED_VALUE"""),"45-54")</f>
        <v>45-54</v>
      </c>
      <c r="M25" s="6"/>
      <c r="N25" s="6"/>
      <c r="O25" s="6"/>
      <c r="P25" s="6"/>
      <c r="Q25" s="6"/>
      <c r="R25" s="6"/>
      <c r="S25" s="6"/>
      <c r="T25" s="6"/>
      <c r="U25" s="6"/>
      <c r="V25" s="6"/>
      <c r="W25" s="6"/>
      <c r="X25" s="6"/>
      <c r="Y25" s="6"/>
      <c r="Z25" s="6"/>
      <c r="AA25" s="6"/>
      <c r="AB25" s="6"/>
    </row>
    <row r="26" spans="1:28" ht="57">
      <c r="A26" s="6" t="s">
        <v>386</v>
      </c>
      <c r="B26" s="13">
        <f ca="1">IFERROR(__xludf.dummyfunction("""COMPUTED_VALUE"""),46082.5886515046)</f>
        <v>46082.5886515046</v>
      </c>
      <c r="C26" s="6" t="str">
        <f ca="1">IFERROR(__xludf.dummyfunction("""COMPUTED_VALUE"""),"Individual")</f>
        <v>Individual</v>
      </c>
      <c r="D26" s="14">
        <f ca="1">IFERROR(__xludf.dummyfunction("""COMPUTED_VALUE"""),4)</f>
        <v>4</v>
      </c>
      <c r="E26" s="6" t="str">
        <f ca="1">IFERROR(__xludf.dummyfunction("""COMPUTED_VALUE"""),"Loss of biodiversity, Economic/political instability, Impacts of climate change on poorer communities elsewhere in the world")</f>
        <v>Loss of biodiversity, Economic/political instability, Impacts of climate change on poorer communities elsewhere in the world</v>
      </c>
      <c r="F26" s="6" t="str">
        <f ca="1">IFERROR(__xludf.dummyfunction("""COMPUTED_VALUE"""),"Nature friendly gardening (e.g. planting wildflowers, rewilding, using peat-free compost), Used lower carbon ways of travelling (e.g. walking, cycling, public transport), Reused or repaired items, Taken political action (e.g. written to MP, taken part in "&amp;"campaigns or protests)")</f>
        <v>Nature friendly gardening (e.g. planting wildflowers, rewilding, using peat-free compost), Used lower carbon ways of travelling (e.g. walking, cycling, public transport), Reused or repaired items, Taken political action (e.g. written to MP, taken part in campaigns or protests)</v>
      </c>
      <c r="G26" s="6" t="str">
        <f ca="1">IFERROR(__xludf.dummyfunction("""COMPUTED_VALUE"""),"I don't have the money")</f>
        <v>I don't have the money</v>
      </c>
      <c r="H26" s="6" t="str">
        <f ca="1">IFERROR(__xludf.dummyfunction("""COMPUTED_VALUE"""),"None of the above")</f>
        <v>None of the above</v>
      </c>
      <c r="I26" s="6" t="str">
        <f ca="1">IFERROR(__xludf.dummyfunction("""COMPUTED_VALUE"""),"Stop mowing the churchyard into oblivion. Once a year is best.")</f>
        <v>Stop mowing the churchyard into oblivion. Once a year is best.</v>
      </c>
      <c r="J26" s="6" t="str">
        <f ca="1">IFERROR(__xludf.dummyfunction("""COMPUTED_VALUE"""),"Twyford EcoSystems Group")</f>
        <v>Twyford EcoSystems Group</v>
      </c>
      <c r="K26" s="6" t="str">
        <f ca="1">IFERROR(__xludf.dummyfunction("""COMPUTED_VALUE"""),"Move away from climate to preserving biodiversity: stop using pesticides, herbicides and topical pesticides on pets.")</f>
        <v>Move away from climate to preserving biodiversity: stop using pesticides, herbicides and topical pesticides on pets.</v>
      </c>
      <c r="L26" s="14" t="str">
        <f ca="1">IFERROR(__xludf.dummyfunction("""COMPUTED_VALUE"""),"45-54")</f>
        <v>45-54</v>
      </c>
      <c r="M26" s="6"/>
      <c r="N26" s="6"/>
      <c r="O26" s="6"/>
      <c r="P26" s="6"/>
      <c r="Q26" s="6"/>
      <c r="R26" s="6"/>
      <c r="S26" s="6"/>
      <c r="T26" s="6"/>
      <c r="U26" s="6"/>
      <c r="V26" s="6"/>
      <c r="W26" s="6"/>
      <c r="X26" s="6"/>
      <c r="Y26" s="6"/>
      <c r="Z26" s="6"/>
      <c r="AA26" s="6"/>
      <c r="AB26" s="6"/>
    </row>
    <row r="27" spans="1:28" ht="57">
      <c r="A27" s="6" t="s">
        <v>386</v>
      </c>
      <c r="B27" s="13">
        <f ca="1">IFERROR(__xludf.dummyfunction("""COMPUTED_VALUE"""),46082.593755625)</f>
        <v>46082.593755624999</v>
      </c>
      <c r="C27" s="6" t="str">
        <f ca="1">IFERROR(__xludf.dummyfunction("""COMPUTED_VALUE"""),"Household")</f>
        <v>Household</v>
      </c>
      <c r="D27" s="14">
        <f ca="1">IFERROR(__xludf.dummyfunction("""COMPUTED_VALUE"""),5)</f>
        <v>5</v>
      </c>
      <c r="E27" s="6" t="str">
        <f ca="1">IFERROR(__xludf.dummyfunction("""COMPUTED_VALUE"""),"The impact on my children and grandchildren, Loss of biodiversity, Floods and storms, Water shortages, Extreme heat/wildfires, Higher bills (higher prices of food, water, energy, etc.), Economic/political instability")</f>
        <v>The impact on my children and grandchildren, Loss of biodiversity, Floods and storms, Water shortages, Extreme heat/wildfires, Higher bills (higher prices of food, water, energy, etc.), Economic/political instability</v>
      </c>
      <c r="F27" s="6" t="str">
        <f ca="1">IFERROR(__xludf.dummyfunction("""COMPUTED_VALUE"""),"Nature friendly gardening (e.g. planting wildflowers, rewilding, using peat-free compost), Reused or repaired items, Composted or recycled waste, Talked to friends and family about climate change or actions I've taken")</f>
        <v>Nature friendly gardening (e.g. planting wildflowers, rewilding, using peat-free compost), Reused or repaired items, Composted or recycled waste, Talked to friends and family about climate change or actions I've taken</v>
      </c>
      <c r="G27" s="6" t="str">
        <f ca="1">IFERROR(__xludf.dummyfunction("""COMPUTED_VALUE"""),"I don't believe I can have an impact, I feel stuck")</f>
        <v>I don't believe I can have an impact, I feel stuck</v>
      </c>
      <c r="H27" s="6" t="str">
        <f ca="1">IFERROR(__xludf.dummyfunction("""COMPUTED_VALUE"""),"Information about what I can do (including talks/demonstrations), Practical tasks or projects, Setting up locally run projects or campaigns")</f>
        <v>Information about what I can do (including talks/demonstrations), Practical tasks or projects, Setting up locally run projects or campaigns</v>
      </c>
      <c r="I27" s="6"/>
      <c r="J27" s="6"/>
      <c r="K27" s="6"/>
      <c r="L27" s="14" t="str">
        <f ca="1">IFERROR(__xludf.dummyfunction("""COMPUTED_VALUE"""),"45-54")</f>
        <v>45-54</v>
      </c>
      <c r="M27" s="6"/>
      <c r="N27" s="6"/>
      <c r="O27" s="6"/>
      <c r="P27" s="6"/>
      <c r="Q27" s="6"/>
      <c r="R27" s="6"/>
      <c r="S27" s="6"/>
      <c r="T27" s="6"/>
      <c r="U27" s="6"/>
      <c r="V27" s="6"/>
      <c r="W27" s="6"/>
      <c r="X27" s="6"/>
      <c r="Y27" s="6"/>
      <c r="Z27" s="6"/>
      <c r="AA27" s="6"/>
      <c r="AB27" s="6"/>
    </row>
    <row r="28" spans="1:28" ht="57">
      <c r="A28" s="6" t="s">
        <v>386</v>
      </c>
      <c r="B28" s="13">
        <f ca="1">IFERROR(__xludf.dummyfunction("""COMPUTED_VALUE"""),46082.6097301389)</f>
        <v>46082.609730138902</v>
      </c>
      <c r="C28" s="6" t="str">
        <f ca="1">IFERROR(__xludf.dummyfunction("""COMPUTED_VALUE"""),"Individual")</f>
        <v>Individual</v>
      </c>
      <c r="D28" s="14">
        <f ca="1">IFERROR(__xludf.dummyfunction("""COMPUTED_VALUE"""),3)</f>
        <v>3</v>
      </c>
      <c r="E28" s="6" t="str">
        <f ca="1">IFERROR(__xludf.dummyfunction("""COMPUTED_VALUE"""),"The impact on my children and grandchildren, Loss of biodiversity, Floods and storms, Water shortages, Extreme heat/wildfires")</f>
        <v>The impact on my children and grandchildren, Loss of biodiversity, Floods and storms, Water shortages, Extreme heat/wildfires</v>
      </c>
      <c r="F28" s="6" t="str">
        <f ca="1">IFERROR(__xludf.dummyfunction("""COMPUTED_VALUE"""),"Nature friendly gardening (e.g. planting wildflowers, rewilding, using peat-free compost), Adopted a more climate-friendly diet (e.g. reduced meat consumption, buying local, buying food in season), Used lower carbon ways of travelling (e.g. walking, cycli"&amp;"ng, public transport), Invested in an electric/hybrid car, Reused or repaired items, Composted or recycled waste")</f>
        <v>Nature friendly gardening (e.g. planting wildflowers, rewilding, using peat-free compost), Adopted a more climate-friendly diet (e.g. reduced meat consumption, buying local, buying food in season), Used lower carbon ways of travelling (e.g. walking, cycling, public transport), Invested in an electric/hybrid car, Reused or repaired items, Composted or recycled waste</v>
      </c>
      <c r="G28" s="6" t="str">
        <f ca="1">IFERROR(__xludf.dummyfunction("""COMPUTED_VALUE"""),"I don't believe I can have an impact")</f>
        <v>I don't believe I can have an impact</v>
      </c>
      <c r="H28" s="6" t="str">
        <f ca="1">IFERROR(__xludf.dummyfunction("""COMPUTED_VALUE"""),"Practical tasks or projects")</f>
        <v>Practical tasks or projects</v>
      </c>
      <c r="I28" s="6" t="str">
        <f ca="1">IFERROR(__xludf.dummyfunction("""COMPUTED_VALUE"""),"Continue to campaign for bus routes to be reinstated.  Repair cafe. Group for borrowing/lending items only needed once or occasionally ")</f>
        <v xml:space="preserve">Continue to campaign for bus routes to be reinstated.  Repair cafe. Group for borrowing/lending items only needed once or occasionally </v>
      </c>
      <c r="J28" s="6" t="str">
        <f ca="1">IFERROR(__xludf.dummyfunction("""COMPUTED_VALUE"""),"Twyford Climate Action")</f>
        <v>Twyford Climate Action</v>
      </c>
      <c r="K28" s="6"/>
      <c r="L28" s="14" t="str">
        <f ca="1">IFERROR(__xludf.dummyfunction("""COMPUTED_VALUE"""),"55-64")</f>
        <v>55-64</v>
      </c>
      <c r="M28" s="6"/>
      <c r="N28" s="6"/>
      <c r="O28" s="6"/>
      <c r="P28" s="6"/>
      <c r="Q28" s="6"/>
      <c r="R28" s="6"/>
      <c r="S28" s="6"/>
      <c r="T28" s="6"/>
      <c r="U28" s="6"/>
      <c r="V28" s="6"/>
      <c r="W28" s="6"/>
      <c r="X28" s="6"/>
      <c r="Y28" s="6"/>
      <c r="Z28" s="6"/>
      <c r="AA28" s="6"/>
      <c r="AB28" s="6"/>
    </row>
    <row r="29" spans="1:28" ht="57">
      <c r="A29" s="6" t="s">
        <v>386</v>
      </c>
      <c r="B29" s="13">
        <f ca="1">IFERROR(__xludf.dummyfunction("""COMPUTED_VALUE"""),46082.8527552894)</f>
        <v>46082.852755289401</v>
      </c>
      <c r="C29" s="6" t="str">
        <f ca="1">IFERROR(__xludf.dummyfunction("""COMPUTED_VALUE"""),"Household")</f>
        <v>Household</v>
      </c>
      <c r="D29" s="14">
        <f ca="1">IFERROR(__xludf.dummyfunction("""COMPUTED_VALUE"""),5)</f>
        <v>5</v>
      </c>
      <c r="E29" s="6" t="str">
        <f ca="1">IFERROR(__xludf.dummyfunction("""COMPUTED_VALUE"""),"Loss of biodiversity, Floods and storms, Impacts of climate change on poorer communities elsewhere in the world, Climate migration")</f>
        <v>Loss of biodiversity, Floods and storms, Impacts of climate change on poorer communities elsewhere in the world, Climate migration</v>
      </c>
      <c r="F29" s="6" t="str">
        <f ca="1">IFERROR(__xludf.dummyfunction("""COMPUTED_VALUE"""),"Adopted a more climate-friendly diet (e.g. reduced meat consumption, buying local, buying food in season), Used lower carbon ways of travelling (e.g. walking, cycling, public transport), Reduced my energy use, Hired or borrowed items instead of buying, Re"&amp;"used or repaired items, Composted or recycled waste, Reduced water use (e.g. install water butts, shorter showers)")</f>
        <v>Adopted a more climate-friendly diet (e.g. reduced meat consumption, buying local, buying food in season), Used lower carbon ways of travelling (e.g. walking, cycling, public transport), Reduced my energy use, Hired or borrowed items instead of buying, Reused or repaired items, Composted or recycled waste, Reduced water use (e.g. install water butts, shorter showers)</v>
      </c>
      <c r="G29" s="6" t="str">
        <f ca="1">IFERROR(__xludf.dummyfunction("""COMPUTED_VALUE"""),"I don't know what I can do, I don't have the money, I don't have the time, I believe it's up to those in power to lead")</f>
        <v>I don't know what I can do, I don't have the money, I don't have the time, I believe it's up to those in power to lead</v>
      </c>
      <c r="H29" s="6" t="str">
        <f ca="1">IFERROR(__xludf.dummyfunction("""COMPUTED_VALUE"""),"Information about what I can do (including talks/demonstrations), Practical tasks or projects, Setting up locally run projects or campaigns")</f>
        <v>Information about what I can do (including talks/demonstrations), Practical tasks or projects, Setting up locally run projects or campaigns</v>
      </c>
      <c r="I29" s="6" t="str">
        <f ca="1">IFERROR(__xludf.dummyfunction("""COMPUTED_VALUE"""),"Re wilding areas of the village and solar panels for energy ")</f>
        <v xml:space="preserve">Re wilding areas of the village and solar panels for energy </v>
      </c>
      <c r="J29" s="6" t="str">
        <f ca="1">IFERROR(__xludf.dummyfunction("""COMPUTED_VALUE"""),"Climate cohort ")</f>
        <v xml:space="preserve">Climate cohort </v>
      </c>
      <c r="K29" s="6"/>
      <c r="L29" s="14" t="str">
        <f ca="1">IFERROR(__xludf.dummyfunction("""COMPUTED_VALUE"""),"35-44")</f>
        <v>35-44</v>
      </c>
      <c r="M29" s="6"/>
      <c r="N29" s="6"/>
      <c r="O29" s="6"/>
      <c r="P29" s="6"/>
      <c r="Q29" s="6"/>
      <c r="R29" s="6"/>
      <c r="S29" s="6"/>
      <c r="T29" s="6"/>
      <c r="U29" s="6"/>
      <c r="V29" s="6"/>
      <c r="W29" s="6"/>
      <c r="X29" s="6"/>
      <c r="Y29" s="6"/>
      <c r="Z29" s="6"/>
      <c r="AA29" s="6"/>
      <c r="AB29" s="6"/>
    </row>
    <row r="30" spans="1:28" ht="57">
      <c r="A30" s="6" t="s">
        <v>386</v>
      </c>
      <c r="B30" s="13">
        <f ca="1">IFERROR(__xludf.dummyfunction("""COMPUTED_VALUE"""),46082.8629473727)</f>
        <v>46082.862947372698</v>
      </c>
      <c r="C30" s="6" t="str">
        <f ca="1">IFERROR(__xludf.dummyfunction("""COMPUTED_VALUE"""),"Household")</f>
        <v>Household</v>
      </c>
      <c r="D30" s="14">
        <f ca="1">IFERROR(__xludf.dummyfunction("""COMPUTED_VALUE"""),5)</f>
        <v>5</v>
      </c>
      <c r="E30" s="6" t="str">
        <f ca="1">IFERROR(__xludf.dummyfunction("""COMPUTED_VALUE"""),"Loss of biodiversity, Floods and storms, Higher bills (higher prices of food, water, energy, etc.)")</f>
        <v>Loss of biodiversity, Floods and storms, Higher bills (higher prices of food, water, energy, etc.)</v>
      </c>
      <c r="F30" s="6" t="str">
        <f ca="1">IFERROR(__xludf.dummyfunction("""COMPUTED_VALUE"""),"Nature friendly gardening (e.g. planting wildflowers, rewilding, using peat-free compost), Adopted a more climate-friendly diet (e.g. reduced meat consumption, buying local, buying food in season), Hired or borrowed items instead of buying, Reused or repa"&amp;"ired items, Composted or recycled waste, Reduced water use (e.g. install water butts, shorter showers)")</f>
        <v>Nature friendly gardening (e.g. planting wildflowers, rewilding, using peat-free compost), Adopted a more climate-friendly diet (e.g. reduced meat consumption, buying local, buying food in season), Hired or borrowed items instead of buying, Reused or repaired items, Composted or recycled waste, Reduced water use (e.g. install water butts, shorter showers)</v>
      </c>
      <c r="G30" s="6" t="str">
        <f ca="1">IFERROR(__xludf.dummyfunction("""COMPUTED_VALUE"""),"I don't have the time")</f>
        <v>I don't have the time</v>
      </c>
      <c r="H30" s="6" t="str">
        <f ca="1">IFERROR(__xludf.dummyfunction("""COMPUTED_VALUE"""),"Joining others with similar interests so we can create action together, Opportunities to talk about my feelings about climate change")</f>
        <v>Joining others with similar interests so we can create action together, Opportunities to talk about my feelings about climate change</v>
      </c>
      <c r="I30" s="6"/>
      <c r="J30" s="6"/>
      <c r="K30" s="6"/>
      <c r="L30" s="14" t="str">
        <f ca="1">IFERROR(__xludf.dummyfunction("""COMPUTED_VALUE"""),"45-54")</f>
        <v>45-54</v>
      </c>
      <c r="M30" s="6"/>
      <c r="N30" s="6"/>
      <c r="O30" s="6"/>
      <c r="P30" s="6"/>
      <c r="Q30" s="6"/>
      <c r="R30" s="6"/>
      <c r="S30" s="6"/>
      <c r="T30" s="6"/>
      <c r="U30" s="6"/>
      <c r="V30" s="6"/>
      <c r="W30" s="6"/>
      <c r="X30" s="6"/>
      <c r="Y30" s="6"/>
      <c r="Z30" s="6"/>
      <c r="AA30" s="6"/>
      <c r="AB30" s="6"/>
    </row>
    <row r="31" spans="1:28" ht="114">
      <c r="A31" s="6" t="s">
        <v>386</v>
      </c>
      <c r="B31" s="13">
        <f ca="1">IFERROR(__xludf.dummyfunction("""COMPUTED_VALUE"""),46084.3588605093)</f>
        <v>46084.358860509303</v>
      </c>
      <c r="C31" s="6" t="str">
        <f ca="1">IFERROR(__xludf.dummyfunction("""COMPUTED_VALUE"""),"Household")</f>
        <v>Household</v>
      </c>
      <c r="D31" s="14">
        <f ca="1">IFERROR(__xludf.dummyfunction("""COMPUTED_VALUE"""),4)</f>
        <v>4</v>
      </c>
      <c r="E31" s="6" t="str">
        <f ca="1">IFERROR(__xludf.dummyfunction("""COMPUTED_VALUE"""),"Loss of biodiversity, Water shortages, Extreme heat/wildfires")</f>
        <v>Loss of biodiversity, Water shortages, Extreme heat/wildfires</v>
      </c>
      <c r="F31" s="6" t="str">
        <f ca="1">IFERROR(__xludf.dummyfunction("""COMPUTED_VALUE"""),"Nature friendly gardening (e.g. planting wildflowers, rewilding, using peat-free compost), Adopted a more climate-friendly diet (e.g. reduced meat consumption, buying local, buying food in season), Reduced my travel, Reduced my energy use, Reused or repai"&amp;"red items, Composted or recycled waste, Reduced flood risk by replacing solid surfaces with permeable surfaces, Reduced water use (e.g. install water butts, shorter showers), Reduced heat risk (e.g. additional planting, shading around my property), Taken "&amp;"political action (e.g. written to MP, taken part in campaigns or protests), Joined a climate or environmental group, Talked to friends and family about climate change or actions I've taken, Work in conservation, dedicated my life to a more sustainable fut"&amp;"ure")</f>
        <v>Nature friendly gardening (e.g. planting wildflowers, rewilding, using peat-free compost), Adopted a more climate-friendly diet (e.g. reduced meat consumption, buying local, buying food in season), Reduced my travel, Reduced my energy use, Reused or repaired items, Composted or recycled waste, Reduced flood risk by replacing solid surfaces with permeable surfaces, Reduced water use (e.g. install water butts, shorter showers), Reduced heat risk (e.g. additional planting, shading around my property), Taken political action (e.g. written to MP, taken part in campaigns or protests), Joined a climate or environmental group, Talked to friends and family about climate change or actions I've taken, Work in conservation, dedicated my life to a more sustainable future</v>
      </c>
      <c r="G31" s="6" t="str">
        <f ca="1">IFERROR(__xludf.dummyfunction("""COMPUTED_VALUE"""),"I don't have the money, We are in 100 year old house that cannot have cavity insulation.  Bad designed house")</f>
        <v>I don't have the money, We are in 100 year old house that cannot have cavity insulation.  Bad designed house</v>
      </c>
      <c r="H31" s="6" t="str">
        <f ca="1">IFERROR(__xludf.dummyfunction("""COMPUTED_VALUE"""),"Information about what I can do (including talks/demonstrations), Joining others with similar interests so we can create action together, Practical tasks or projects, Sharing my skills and knowledge with others, Attending protests")</f>
        <v>Information about what I can do (including talks/demonstrations), Joining others with similar interests so we can create action together, Practical tasks or projects, Sharing my skills and knowledge with others, Attending protests</v>
      </c>
      <c r="I31" s="6" t="str">
        <f ca="1">IFERROR(__xludf.dummyfunction("""COMPUTED_VALUE"""),"Keep on what your doing, keeping development to a minimum.  Encourage green spaces within village ")</f>
        <v xml:space="preserve">Keep on what your doing, keeping development to a minimum.  Encourage green spaces within village </v>
      </c>
      <c r="J31" s="6"/>
      <c r="K31" s="6" t="str">
        <f ca="1">IFERROR(__xludf.dummyfunction("""COMPUTED_VALUE"""),"I have 30+ years in horticulture including conservation and ecology and qualified in garden design.  I can help with practical solutions, advice and physical work.  ")</f>
        <v xml:space="preserve">I have 30+ years in horticulture including conservation and ecology and qualified in garden design.  I can help with practical solutions, advice and physical work.  </v>
      </c>
      <c r="L31" s="14" t="str">
        <f ca="1">IFERROR(__xludf.dummyfunction("""COMPUTED_VALUE"""),"45-54")</f>
        <v>45-54</v>
      </c>
      <c r="M31" s="6"/>
      <c r="N31" s="6"/>
      <c r="O31" s="6"/>
      <c r="P31" s="6"/>
      <c r="Q31" s="6"/>
      <c r="R31" s="6"/>
      <c r="S31" s="6"/>
      <c r="T31" s="6"/>
      <c r="U31" s="6"/>
      <c r="V31" s="6"/>
      <c r="W31" s="6"/>
      <c r="X31" s="6"/>
      <c r="Y31" s="6"/>
      <c r="Z31" s="6"/>
      <c r="AA31" s="6"/>
      <c r="AB31" s="6"/>
    </row>
    <row r="32" spans="1:28" ht="99.75">
      <c r="A32" s="6" t="s">
        <v>386</v>
      </c>
      <c r="B32" s="13">
        <f ca="1">IFERROR(__xludf.dummyfunction("""COMPUTED_VALUE"""),46149.7865299884)</f>
        <v>46149.7865299884</v>
      </c>
      <c r="C32" s="6" t="str">
        <f ca="1">IFERROR(__xludf.dummyfunction("""COMPUTED_VALUE"""),"Household")</f>
        <v>Household</v>
      </c>
      <c r="D32" s="14">
        <f ca="1">IFERROR(__xludf.dummyfunction("""COMPUTED_VALUE"""),5)</f>
        <v>5</v>
      </c>
      <c r="E32" s="6" t="str">
        <f ca="1">IFERROR(__xludf.dummyfunction("""COMPUTED_VALUE"""),"The impact on my children and grandchildren, Loss of biodiversity, Floods and storms, Water shortages, Extreme heat/wildfires, Higher bills (higher prices of food, water, energy, etc.), Economic/political instability, Impacts of climate change on poorer c"&amp;"ommunities elsewhere in the world, Climate migration")</f>
        <v>The impact on my children and grandchildren, Loss of biodiversity, Floods and storms, Water shortages, Extreme heat/wildfires, Higher bills (higher prices of food, water, energy, etc.), Economic/political instability, Impacts of climate change on poorer communities elsewhere in the world, Climate migration</v>
      </c>
      <c r="F32" s="6" t="str">
        <f ca="1">IFERROR(__xludf.dummyfunction("""COMPUTED_VALUE"""),"Nature friendly gardening (e.g. planting wildflowers, rewilding, using peat-free compost), Adopted a more climate-friendly diet (e.g. reduced meat consumption, buying local, buying food in season), Reduced my travel, Used lower carbon ways of travelling ("&amp;"e.g. walking, cycling, public transport), Reused or repaired items, Composted or recycled waste, Reduced water use (e.g. install water butts, shorter showers), Reduced heat risk (e.g. additional planting, shading around my property), Taken political actio"&amp;"n (e.g. written to MP, taken part in campaigns or protests), Talked to friends and family about climate change or actions I've taken")</f>
        <v>Nature friendly gardening (e.g. planting wildflowers, rewilding, using peat-free compost), Adopted a more climate-friendly diet (e.g. reduced meat consumption, buying local, buying food in season), Reduced my travel, Used lower carbon ways of travelling (e.g. walking, cycling, public transport), Reused or repaired items, Composted or recycled waste, Reduced water use (e.g. install water butts, shorter showers), Reduced heat risk (e.g. additional planting, shading around my property), Taken political action (e.g. written to MP, taken part in campaigns or protests), Talked to friends and family about climate change or actions I've taken</v>
      </c>
      <c r="G32" s="6" t="str">
        <f ca="1">IFERROR(__xludf.dummyfunction("""COMPUTED_VALUE"""),"I don't have the money, I don't have the time, I don't believe I can have an impact, I believe it's up to those in power to lead")</f>
        <v>I don't have the money, I don't have the time, I don't believe I can have an impact, I believe it's up to those in power to lead</v>
      </c>
      <c r="H32" s="6" t="str">
        <f ca="1">IFERROR(__xludf.dummyfunction("""COMPUTED_VALUE"""),"Practical tasks or projects, Setting up locally run projects or campaigns")</f>
        <v>Practical tasks or projects, Setting up locally run projects or campaigns</v>
      </c>
      <c r="I32" s="6"/>
      <c r="J32" s="6"/>
      <c r="K32" s="6"/>
      <c r="L32" s="14" t="str">
        <f ca="1">IFERROR(__xludf.dummyfunction("""COMPUTED_VALUE"""),"45-54")</f>
        <v>45-54</v>
      </c>
      <c r="M32" s="6"/>
      <c r="N32" s="6"/>
      <c r="O32" s="6"/>
      <c r="P32" s="6"/>
      <c r="Q32" s="6"/>
      <c r="R32" s="6"/>
      <c r="S32" s="6"/>
      <c r="T32" s="6"/>
      <c r="U32" s="6"/>
      <c r="V32" s="6"/>
      <c r="W32" s="6"/>
      <c r="X32" s="6"/>
      <c r="Y32" s="6"/>
      <c r="Z32" s="6"/>
      <c r="AA32" s="6"/>
      <c r="AB32" s="6"/>
    </row>
    <row r="33" spans="1:28" ht="42.75">
      <c r="A33" s="6" t="s">
        <v>386</v>
      </c>
      <c r="B33" s="13">
        <f ca="1">IFERROR(__xludf.dummyfunction("""COMPUTED_VALUE"""),46149.7872357986)</f>
        <v>46149.787235798598</v>
      </c>
      <c r="C33" s="6" t="str">
        <f ca="1">IFERROR(__xludf.dummyfunction("""COMPUTED_VALUE"""),"Household")</f>
        <v>Household</v>
      </c>
      <c r="D33" s="14">
        <f ca="1">IFERROR(__xludf.dummyfunction("""COMPUTED_VALUE"""),4)</f>
        <v>4</v>
      </c>
      <c r="E33" s="6" t="str">
        <f ca="1">IFERROR(__xludf.dummyfunction("""COMPUTED_VALUE"""),"The impact on my children and grandchildren, Floods and storms, Higher bills (higher prices of food, water, energy, etc.), Economic/political instability")</f>
        <v>The impact on my children and grandchildren, Floods and storms, Higher bills (higher prices of food, water, energy, etc.), Economic/political instability</v>
      </c>
      <c r="F33" s="6" t="str">
        <f ca="1">IFERROR(__xludf.dummyfunction("""COMPUTED_VALUE"""),"Used lower carbon ways of travelling (e.g. walking, cycling, public transport), Hired or borrowed items instead of buying, Reused or repaired items, Composted or recycled waste")</f>
        <v>Used lower carbon ways of travelling (e.g. walking, cycling, public transport), Hired or borrowed items instead of buying, Reused or repaired items, Composted or recycled waste</v>
      </c>
      <c r="G33" s="6" t="str">
        <f ca="1">IFERROR(__xludf.dummyfunction("""COMPUTED_VALUE"""),"I don't know what I can do, I don't have the money")</f>
        <v>I don't know what I can do, I don't have the money</v>
      </c>
      <c r="H33" s="6" t="str">
        <f ca="1">IFERROR(__xludf.dummyfunction("""COMPUTED_VALUE"""),"Information about what I can do (including talks/demonstrations), Practical tasks or projects")</f>
        <v>Information about what I can do (including talks/demonstrations), Practical tasks or projects</v>
      </c>
      <c r="I33" s="6"/>
      <c r="J33" s="6"/>
      <c r="K33" s="6"/>
      <c r="L33" s="14" t="str">
        <f ca="1">IFERROR(__xludf.dummyfunction("""COMPUTED_VALUE"""),"35-44")</f>
        <v>35-44</v>
      </c>
      <c r="M33" s="6"/>
      <c r="N33" s="6"/>
      <c r="O33" s="6"/>
      <c r="P33" s="6"/>
      <c r="Q33" s="6"/>
      <c r="R33" s="6"/>
      <c r="S33" s="6"/>
      <c r="T33" s="6"/>
      <c r="U33" s="6"/>
      <c r="V33" s="6"/>
      <c r="W33" s="6"/>
      <c r="X33" s="6"/>
      <c r="Y33" s="6"/>
      <c r="Z33" s="6"/>
      <c r="AA33" s="6"/>
      <c r="AB33" s="6"/>
    </row>
    <row r="34" spans="1:28" ht="42.75">
      <c r="A34" s="6" t="s">
        <v>386</v>
      </c>
      <c r="B34" s="13">
        <f ca="1">IFERROR(__xludf.dummyfunction("""COMPUTED_VALUE"""),46149.7888125579)</f>
        <v>46149.788812557897</v>
      </c>
      <c r="C34" s="6" t="str">
        <f ca="1">IFERROR(__xludf.dummyfunction("""COMPUTED_VALUE"""),"Individual")</f>
        <v>Individual</v>
      </c>
      <c r="D34" s="14">
        <f ca="1">IFERROR(__xludf.dummyfunction("""COMPUTED_VALUE"""),5)</f>
        <v>5</v>
      </c>
      <c r="E34" s="6" t="str">
        <f ca="1">IFERROR(__xludf.dummyfunction("""COMPUTED_VALUE"""),"Loss of biodiversity, Floods and storms, Water shortages, Economic/political instability, Impacts of climate change on poorer communities elsewhere in the world, Climate migration")</f>
        <v>Loss of biodiversity, Floods and storms, Water shortages, Economic/political instability, Impacts of climate change on poorer communities elsewhere in the world, Climate migration</v>
      </c>
      <c r="F34" s="6" t="str">
        <f ca="1">IFERROR(__xludf.dummyfunction("""COMPUTED_VALUE"""),"Nature friendly gardening (e.g. planting wildflowers, rewilding, using peat-free compost), Composted or recycled waste")</f>
        <v>Nature friendly gardening (e.g. planting wildflowers, rewilding, using peat-free compost), Composted or recycled waste</v>
      </c>
      <c r="G34" s="6" t="str">
        <f ca="1">IFERROR(__xludf.dummyfunction("""COMPUTED_VALUE"""),"I don't believe I can have an impact, I don't like thinking about climate change, I feel stuck")</f>
        <v>I don't believe I can have an impact, I don't like thinking about climate change, I feel stuck</v>
      </c>
      <c r="H34" s="6" t="str">
        <f ca="1">IFERROR(__xludf.dummyfunction("""COMPUTED_VALUE"""),"None of the above")</f>
        <v>None of the above</v>
      </c>
      <c r="I34" s="6" t="str">
        <f ca="1">IFERROR(__xludf.dummyfunction("""COMPUTED_VALUE"""),"Create a system for sharing travel  - look into using BlaBlaCar. It would obviously require a lot of people to make it effective . ")</f>
        <v xml:space="preserve">Create a system for sharing travel  - look into using BlaBlaCar. It would obviously require a lot of people to make it effective . </v>
      </c>
      <c r="J34" s="6"/>
      <c r="K34" s="6"/>
      <c r="L34" s="14" t="str">
        <f ca="1">IFERROR(__xludf.dummyfunction("""COMPUTED_VALUE"""),"55-64")</f>
        <v>55-64</v>
      </c>
      <c r="M34" s="6"/>
      <c r="N34" s="6"/>
      <c r="O34" s="6"/>
      <c r="P34" s="6"/>
      <c r="Q34" s="6"/>
      <c r="R34" s="6"/>
      <c r="S34" s="6"/>
      <c r="T34" s="6"/>
      <c r="U34" s="6"/>
      <c r="V34" s="6"/>
      <c r="W34" s="6"/>
      <c r="X34" s="6"/>
      <c r="Y34" s="6"/>
      <c r="Z34" s="6"/>
      <c r="AA34" s="6"/>
      <c r="AB34" s="6"/>
    </row>
    <row r="35" spans="1:28" ht="57">
      <c r="A35" s="6" t="s">
        <v>386</v>
      </c>
      <c r="B35" s="13">
        <f ca="1">IFERROR(__xludf.dummyfunction("""COMPUTED_VALUE"""),46149.8516719329)</f>
        <v>46149.851671932898</v>
      </c>
      <c r="C35" s="6" t="str">
        <f ca="1">IFERROR(__xludf.dummyfunction("""COMPUTED_VALUE"""),"Household")</f>
        <v>Household</v>
      </c>
      <c r="D35" s="14">
        <f ca="1">IFERROR(__xludf.dummyfunction("""COMPUTED_VALUE"""),4)</f>
        <v>4</v>
      </c>
      <c r="E35" s="6" t="str">
        <f ca="1">IFERROR(__xludf.dummyfunction("""COMPUTED_VALUE"""),"The impact on my children and grandchildren")</f>
        <v>The impact on my children and grandchildren</v>
      </c>
      <c r="F35" s="6" t="str">
        <f ca="1">IFERROR(__xludf.dummyfunction("""COMPUTED_VALUE"""),"Adopted a more climate-friendly diet (e.g. reduced meat consumption, buying local, buying food in season), Reduced my travel, Used lower carbon ways of travelling (e.g. walking, cycling, public transport), Invested in an electric/hybrid car, Reduced my en"&amp;"ergy use, Hired or borrowed items instead of buying, Reused or repaired items, Composted or recycled waste")</f>
        <v>Adopted a more climate-friendly diet (e.g. reduced meat consumption, buying local, buying food in season), Reduced my travel, Used lower carbon ways of travelling (e.g. walking, cycling, public transport), Invested in an electric/hybrid car, Reduced my energy use, Hired or borrowed items instead of buying, Reused or repaired items, Composted or recycled waste</v>
      </c>
      <c r="G35" s="6" t="str">
        <f ca="1">IFERROR(__xludf.dummyfunction("""COMPUTED_VALUE"""),"I don't know what I can do, I don't have the time")</f>
        <v>I don't know what I can do, I don't have the time</v>
      </c>
      <c r="H35" s="6" t="str">
        <f ca="1">IFERROR(__xludf.dummyfunction("""COMPUTED_VALUE"""),"Information about what I can do (including talks/demonstrations)")</f>
        <v>Information about what I can do (including talks/demonstrations)</v>
      </c>
      <c r="I35" s="6" t="str">
        <f ca="1">IFERROR(__xludf.dummyfunction("""COMPUTED_VALUE"""),"Campaign for the bike lane ")</f>
        <v xml:space="preserve">Campaign for the bike lane </v>
      </c>
      <c r="J35" s="6"/>
      <c r="K35" s="6"/>
      <c r="L35" s="14" t="str">
        <f ca="1">IFERROR(__xludf.dummyfunction("""COMPUTED_VALUE"""),"35-44")</f>
        <v>35-44</v>
      </c>
      <c r="M35" s="6"/>
      <c r="N35" s="6"/>
      <c r="O35" s="6"/>
      <c r="P35" s="6"/>
      <c r="Q35" s="6"/>
      <c r="R35" s="6"/>
      <c r="S35" s="6"/>
      <c r="T35" s="6"/>
      <c r="U35" s="6"/>
      <c r="V35" s="6"/>
      <c r="W35" s="6"/>
      <c r="X35" s="6"/>
      <c r="Y35" s="6"/>
      <c r="Z35" s="6"/>
      <c r="AA35" s="6"/>
      <c r="AB35" s="6"/>
    </row>
    <row r="36" spans="1:28" ht="99.75">
      <c r="A36" s="6" t="s">
        <v>386</v>
      </c>
      <c r="B36" s="13">
        <f ca="1">IFERROR(__xludf.dummyfunction("""COMPUTED_VALUE"""),46149.8621836111)</f>
        <v>46149.862183611098</v>
      </c>
      <c r="C36" s="6" t="str">
        <f ca="1">IFERROR(__xludf.dummyfunction("""COMPUTED_VALUE"""),"Household")</f>
        <v>Household</v>
      </c>
      <c r="D36" s="14">
        <f ca="1">IFERROR(__xludf.dummyfunction("""COMPUTED_VALUE"""),5)</f>
        <v>5</v>
      </c>
      <c r="E36" s="6" t="str">
        <f ca="1">IFERROR(__xludf.dummyfunction("""COMPUTED_VALUE"""),"The impact on my children and grandchildren, Floods and storms, Water shortages, Extreme heat/wildfires, Higher bills (higher prices of food, water, energy, etc.), Economic/political instability")</f>
        <v>The impact on my children and grandchildren, Floods and storms, Water shortages, Extreme heat/wildfires, Higher bills (higher prices of food, water, energy, etc.), Economic/political instability</v>
      </c>
      <c r="F36" s="6" t="str">
        <f ca="1">IFERROR(__xludf.dummyfunction("""COMPUTED_VALUE"""),"Nature friendly gardening (e.g. planting wildflowers, rewilding, using peat-free compost), Adopted a more climate-friendly diet (e.g. reduced meat consumption, buying local, buying food in season), Reduced my travel, Used lower carbon ways of travelling ("&amp;"e.g. walking, cycling, public transport), Invested in an electric/hybrid car, Hired or borrowed items instead of buying, Reused or repaired items, Composted or recycled waste, Reduced water use (e.g. install water butts, shorter showers), Talked to friend"&amp;"s and family about climate change or actions I've taken")</f>
        <v>Nature friendly gardening (e.g. planting wildflowers, rewilding, using peat-free compost), Adopted a more climate-friendly diet (e.g. reduced meat consumption, buying local, buying food in season), Reduced my travel, Used lower carbon ways of travelling (e.g. walking, cycling, public transport), Invested in an electric/hybrid car, Hired or borrowed items instead of buying, Reused or repaired items, Composted or recycled waste, Reduced water use (e.g. install water butts, shorter showers), Talked to friends and family about climate change or actions I've taken</v>
      </c>
      <c r="G36" s="6" t="str">
        <f ca="1">IFERROR(__xludf.dummyfunction("""COMPUTED_VALUE"""),"I don't have the time, I feel stuck")</f>
        <v>I don't have the time, I feel stuck</v>
      </c>
      <c r="H36" s="6" t="str">
        <f ca="1">IFERROR(__xludf.dummyfunction("""COMPUTED_VALUE"""),"Information about what I can do (including talks/demonstrations), Joining others with similar interests so we can create action together, Opportunities to talk about my feelings about climate change, Practical tasks or projects, Setting up locally run pro"&amp;"jects or campaigns")</f>
        <v>Information about what I can do (including talks/demonstrations), Joining others with similar interests so we can create action together, Opportunities to talk about my feelings about climate change, Practical tasks or projects, Setting up locally run projects or campaigns</v>
      </c>
      <c r="I36" s="6" t="str">
        <f ca="1">IFERROR(__xludf.dummyfunction("""COMPUTED_VALUE"""),"Village projects…. We always pull together so would work ")</f>
        <v xml:space="preserve">Village projects…. We always pull together so would work </v>
      </c>
      <c r="J36" s="6"/>
      <c r="K36" s="6"/>
      <c r="L36" s="14" t="str">
        <f ca="1">IFERROR(__xludf.dummyfunction("""COMPUTED_VALUE"""),"45-54")</f>
        <v>45-54</v>
      </c>
      <c r="M36" s="6"/>
      <c r="N36" s="6"/>
      <c r="O36" s="6"/>
      <c r="P36" s="6"/>
      <c r="Q36" s="6"/>
      <c r="R36" s="6"/>
      <c r="S36" s="6"/>
      <c r="T36" s="6"/>
      <c r="U36" s="6"/>
      <c r="V36" s="6"/>
      <c r="W36" s="6"/>
      <c r="X36" s="6"/>
      <c r="Y36" s="6"/>
      <c r="Z36" s="6"/>
      <c r="AA36" s="6"/>
      <c r="AB36" s="6"/>
    </row>
    <row r="37" spans="1:28" ht="42.75">
      <c r="A37" s="6" t="s">
        <v>386</v>
      </c>
      <c r="B37" s="13">
        <f ca="1">IFERROR(__xludf.dummyfunction("""COMPUTED_VALUE"""),46149.9052231134)</f>
        <v>46149.905223113397</v>
      </c>
      <c r="C37" s="6" t="str">
        <f ca="1">IFERROR(__xludf.dummyfunction("""COMPUTED_VALUE"""),"Household")</f>
        <v>Household</v>
      </c>
      <c r="D37" s="14">
        <f ca="1">IFERROR(__xludf.dummyfunction("""COMPUTED_VALUE"""),4)</f>
        <v>4</v>
      </c>
      <c r="E37" s="6" t="str">
        <f ca="1">IFERROR(__xludf.dummyfunction("""COMPUTED_VALUE"""),"The impact on my children and grandchildren, Loss of biodiversity, Higher bills (higher prices of food, water, energy, etc.)")</f>
        <v>The impact on my children and grandchildren, Loss of biodiversity, Higher bills (higher prices of food, water, energy, etc.)</v>
      </c>
      <c r="F37" s="6" t="str">
        <f ca="1">IFERROR(__xludf.dummyfunction("""COMPUTED_VALUE"""),"Nature friendly gardening (e.g. planting wildflowers, rewilding, using peat-free compost), Used lower carbon ways of travelling (e.g. walking, cycling, public transport), Invested in an electric/hybrid car, Reduced my energy use, Reused or repaired items,"&amp;" Composted or recycled waste")</f>
        <v>Nature friendly gardening (e.g. planting wildflowers, rewilding, using peat-free compost), Used lower carbon ways of travelling (e.g. walking, cycling, public transport), Invested in an electric/hybrid car, Reduced my energy use, Reused or repaired items, Composted or recycled waste</v>
      </c>
      <c r="G37" s="6" t="str">
        <f ca="1">IFERROR(__xludf.dummyfunction("""COMPUTED_VALUE"""),"I don't have the money")</f>
        <v>I don't have the money</v>
      </c>
      <c r="H37" s="6" t="str">
        <f ca="1">IFERROR(__xludf.dummyfunction("""COMPUTED_VALUE"""),"None of the above")</f>
        <v>None of the above</v>
      </c>
      <c r="I37" s="6"/>
      <c r="J37" s="6"/>
      <c r="K37" s="6"/>
      <c r="L37" s="14" t="str">
        <f ca="1">IFERROR(__xludf.dummyfunction("""COMPUTED_VALUE"""),"45-54")</f>
        <v>45-54</v>
      </c>
      <c r="M37" s="6"/>
      <c r="N37" s="6"/>
      <c r="O37" s="6"/>
      <c r="P37" s="6"/>
      <c r="Q37" s="6"/>
      <c r="R37" s="6"/>
      <c r="S37" s="6"/>
      <c r="T37" s="6"/>
      <c r="U37" s="6"/>
      <c r="V37" s="6"/>
      <c r="W37" s="6"/>
      <c r="X37" s="6"/>
      <c r="Y37" s="6"/>
      <c r="Z37" s="6"/>
      <c r="AA37" s="6"/>
      <c r="AB37" s="6"/>
    </row>
    <row r="38" spans="1:28" ht="71.25">
      <c r="A38" s="6" t="s">
        <v>386</v>
      </c>
      <c r="B38" s="13">
        <f ca="1">IFERROR(__xludf.dummyfunction("""COMPUTED_VALUE"""),46149.9129242014)</f>
        <v>46149.912924201402</v>
      </c>
      <c r="C38" s="6" t="str">
        <f ca="1">IFERROR(__xludf.dummyfunction("""COMPUTED_VALUE"""),"Household")</f>
        <v>Household</v>
      </c>
      <c r="D38" s="14">
        <f ca="1">IFERROR(__xludf.dummyfunction("""COMPUTED_VALUE"""),4)</f>
        <v>4</v>
      </c>
      <c r="E38" s="6" t="str">
        <f ca="1">IFERROR(__xludf.dummyfunction("""COMPUTED_VALUE"""),"The impact on my children and grandchildren, Loss of biodiversity, Water shortages, Higher bills (higher prices of food, water, energy, etc.)")</f>
        <v>The impact on my children and grandchildren, Loss of biodiversity, Water shortages, Higher bills (higher prices of food, water, energy, etc.)</v>
      </c>
      <c r="F38" s="6" t="str">
        <f ca="1">IFERROR(__xludf.dummyfunction("""COMPUTED_VALUE"""),"Nature friendly gardening (e.g. planting wildflowers, rewilding, using peat-free compost), Adopted a more climate-friendly diet (e.g. reduced meat consumption, buying local, buying food in season), Reduced my travel, Used lower carbon ways of travelling ("&amp;"e.g. walking, cycling, public transport), Invested in an electric/hybrid car, Reduced my energy use, Reused or repaired items, Composted or recycled waste, Reduced water use (e.g. install water butts, shorter showers)")</f>
        <v>Nature friendly gardening (e.g. planting wildflowers, rewilding, using peat-free compost), Adopted a more climate-friendly diet (e.g. reduced meat consumption, buying local, buying food in season), Reduced my travel, Used lower carbon ways of travelling (e.g. walking, cycling, public transport), Invested in an electric/hybrid car, Reduced my energy use, Reused or repaired items, Composted or recycled waste, Reduced water use (e.g. install water butts, shorter showers)</v>
      </c>
      <c r="G38" s="6" t="str">
        <f ca="1">IFERROR(__xludf.dummyfunction("""COMPUTED_VALUE"""),"I don't have the money, I don't have the time")</f>
        <v>I don't have the money, I don't have the time</v>
      </c>
      <c r="H38" s="6" t="str">
        <f ca="1">IFERROR(__xludf.dummyfunction("""COMPUTED_VALUE"""),"None of the above")</f>
        <v>None of the above</v>
      </c>
      <c r="I38" s="6"/>
      <c r="J38" s="6"/>
      <c r="K38" s="6"/>
      <c r="L38" s="14" t="str">
        <f ca="1">IFERROR(__xludf.dummyfunction("""COMPUTED_VALUE"""),"45-54")</f>
        <v>45-54</v>
      </c>
      <c r="M38" s="6"/>
      <c r="N38" s="6"/>
      <c r="O38" s="6"/>
      <c r="P38" s="6"/>
      <c r="Q38" s="6"/>
      <c r="R38" s="6"/>
      <c r="S38" s="6"/>
      <c r="T38" s="6"/>
      <c r="U38" s="6"/>
      <c r="V38" s="6"/>
      <c r="W38" s="6"/>
      <c r="X38" s="6"/>
      <c r="Y38" s="6"/>
      <c r="Z38" s="6"/>
      <c r="AA38" s="6"/>
      <c r="AB38" s="6"/>
    </row>
    <row r="39" spans="1:28" ht="99.75">
      <c r="A39" s="6" t="s">
        <v>386</v>
      </c>
      <c r="B39" s="13">
        <f ca="1">IFERROR(__xludf.dummyfunction("""COMPUTED_VALUE"""),46149.9131133449)</f>
        <v>46149.913113344897</v>
      </c>
      <c r="C39" s="6" t="str">
        <f ca="1">IFERROR(__xludf.dummyfunction("""COMPUTED_VALUE"""),"Household")</f>
        <v>Household</v>
      </c>
      <c r="D39" s="14">
        <f ca="1">IFERROR(__xludf.dummyfunction("""COMPUTED_VALUE"""),4)</f>
        <v>4</v>
      </c>
      <c r="E39" s="6" t="str">
        <f ca="1">IFERROR(__xludf.dummyfunction("""COMPUTED_VALUE"""),"The impact on my children and grandchildren, Loss of biodiversity, Extreme heat/wildfires, Impacts of climate change on poorer communities elsewhere in the world")</f>
        <v>The impact on my children and grandchildren, Loss of biodiversity, Extreme heat/wildfires, Impacts of climate change on poorer communities elsewhere in the world</v>
      </c>
      <c r="F39" s="6" t="str">
        <f ca="1">IFERROR(__xludf.dummyfunction("""COMPUTED_VALUE"""),"Nature friendly gardening (e.g. planting wildflowers, rewilding, using peat-free compost), Adopted a more climate-friendly diet (e.g. reduced meat consumption, buying local, buying food in season), Used lower carbon ways of travelling (e.g. walking, cycli"&amp;"ng, public transport), Installed insulation, Installed a greener heating system, Hired or borrowed items instead of buying, Reused or repaired items, Composted or recycled waste, Reduced flood risk by replacing solid surfaces with permeable surfaces, Redu"&amp;"ced water use (e.g. install water butts, shorter showers), Talked to friends and family about climate change or actions I've taken")</f>
        <v>Nature friendly gardening (e.g. planting wildflowers, rewilding, using peat-free compost), Adopted a more climate-friendly diet (e.g. reduced meat consumption, buying local, buying food in season), Used lower carbon ways of travelling (e.g. walking, cycling, public transport), Installed insulation, Installed a greener heating system, Hired or borrowed items instead of buying, Reused or repaired items, Composted or recycled waste, Reduced flood risk by replacing solid surfaces with permeable surfaces, Reduced water use (e.g. install water butts, shorter showers), Talked to friends and family about climate change or actions I've taken</v>
      </c>
      <c r="G39" s="6" t="str">
        <f ca="1">IFERROR(__xludf.dummyfunction("""COMPUTED_VALUE"""),"I don't know what I can do, I've done as much as I can")</f>
        <v>I don't know what I can do, I've done as much as I can</v>
      </c>
      <c r="H39" s="6" t="str">
        <f ca="1">IFERROR(__xludf.dummyfunction("""COMPUTED_VALUE"""),"Information about what I can do (including talks/demonstrations), Practical tasks or projects")</f>
        <v>Information about what I can do (including talks/demonstrations), Practical tasks or projects</v>
      </c>
      <c r="I39" s="6" t="str">
        <f ca="1">IFERROR(__xludf.dummyfunction("""COMPUTED_VALUE"""),"Traffic through the village, better public bus service to the village")</f>
        <v>Traffic through the village, better public bus service to the village</v>
      </c>
      <c r="J39" s="6"/>
      <c r="K39" s="6" t="str">
        <f ca="1">IFERROR(__xludf.dummyfunction("""COMPUTED_VALUE"""),"Thank you for getting people talking about this")</f>
        <v>Thank you for getting people talking about this</v>
      </c>
      <c r="L39" s="14" t="str">
        <f ca="1">IFERROR(__xludf.dummyfunction("""COMPUTED_VALUE"""),"45-54")</f>
        <v>45-54</v>
      </c>
      <c r="M39" s="6"/>
      <c r="N39" s="6"/>
      <c r="O39" s="6"/>
      <c r="P39" s="6"/>
      <c r="Q39" s="6"/>
      <c r="R39" s="6"/>
      <c r="S39" s="6"/>
      <c r="T39" s="6"/>
      <c r="U39" s="6"/>
      <c r="V39" s="6"/>
      <c r="W39" s="6"/>
      <c r="X39" s="6"/>
      <c r="Y39" s="6"/>
      <c r="Z39" s="6"/>
      <c r="AA39" s="6"/>
      <c r="AB39" s="6"/>
    </row>
    <row r="40" spans="1:28" ht="57">
      <c r="A40" s="6" t="s">
        <v>386</v>
      </c>
      <c r="B40" s="13">
        <f ca="1">IFERROR(__xludf.dummyfunction("""COMPUTED_VALUE"""),46150.7345275926)</f>
        <v>46150.734527592598</v>
      </c>
      <c r="C40" s="6" t="str">
        <f ca="1">IFERROR(__xludf.dummyfunction("""COMPUTED_VALUE"""),"Household")</f>
        <v>Household</v>
      </c>
      <c r="D40" s="14">
        <f ca="1">IFERROR(__xludf.dummyfunction("""COMPUTED_VALUE"""),5)</f>
        <v>5</v>
      </c>
      <c r="E40" s="6" t="str">
        <f ca="1">IFERROR(__xludf.dummyfunction("""COMPUTED_VALUE"""),"Loss of biodiversity, Floods and storms, Water shortages, Extreme heat/wildfires, Higher bills (higher prices of food, water, energy, etc.), Economic/political instability")</f>
        <v>Loss of biodiversity, Floods and storms, Water shortages, Extreme heat/wildfires, Higher bills (higher prices of food, water, energy, etc.), Economic/political instability</v>
      </c>
      <c r="F40" s="6" t="str">
        <f ca="1">IFERROR(__xludf.dummyfunction("""COMPUTED_VALUE"""),"Reduced my travel, Used lower carbon ways of travelling (e.g. walking, cycling, public transport), Reduced my energy use, Reused or repaired items, Composted or recycled waste")</f>
        <v>Reduced my travel, Used lower carbon ways of travelling (e.g. walking, cycling, public transport), Reduced my energy use, Reused or repaired items, Composted or recycled waste</v>
      </c>
      <c r="G40" s="6" t="str">
        <f ca="1">IFERROR(__xludf.dummyfunction("""COMPUTED_VALUE"""),"I don't have the money, I don't have the time")</f>
        <v>I don't have the money, I don't have the time</v>
      </c>
      <c r="H40" s="6" t="str">
        <f ca="1">IFERROR(__xludf.dummyfunction("""COMPUTED_VALUE"""),"Joining others with similar interests so we can create action together, Practical tasks or projects, Setting up locally run projects or campaigns")</f>
        <v>Joining others with similar interests so we can create action together, Practical tasks or projects, Setting up locally run projects or campaigns</v>
      </c>
      <c r="I40" s="6" t="str">
        <f ca="1">IFERROR(__xludf.dummyfunction("""COMPUTED_VALUE"""),"G")</f>
        <v>G</v>
      </c>
      <c r="J40" s="6" t="str">
        <f ca="1">IFERROR(__xludf.dummyfunction("""COMPUTED_VALUE"""),"G")</f>
        <v>G</v>
      </c>
      <c r="K40" s="6" t="str">
        <f ca="1">IFERROR(__xludf.dummyfunction("""COMPUTED_VALUE"""),"G")</f>
        <v>G</v>
      </c>
      <c r="L40" s="14" t="str">
        <f ca="1">IFERROR(__xludf.dummyfunction("""COMPUTED_VALUE"""),"45-54")</f>
        <v>45-54</v>
      </c>
      <c r="M40" s="6"/>
      <c r="N40" s="6"/>
      <c r="O40" s="6"/>
      <c r="P40" s="6"/>
      <c r="Q40" s="6"/>
      <c r="R40" s="6"/>
      <c r="S40" s="6"/>
      <c r="T40" s="6"/>
      <c r="U40" s="6"/>
      <c r="V40" s="6"/>
      <c r="W40" s="6"/>
      <c r="X40" s="6"/>
      <c r="Y40" s="6"/>
      <c r="Z40" s="6"/>
      <c r="AA40" s="6"/>
      <c r="AB40" s="6"/>
    </row>
    <row r="41" spans="1:28" ht="57">
      <c r="A41" s="6" t="s">
        <v>386</v>
      </c>
      <c r="B41" s="13">
        <f ca="1">IFERROR(__xludf.dummyfunction("""COMPUTED_VALUE"""),46150.8915649537)</f>
        <v>46150.891564953701</v>
      </c>
      <c r="C41" s="6" t="str">
        <f ca="1">IFERROR(__xludf.dummyfunction("""COMPUTED_VALUE"""),"Individual")</f>
        <v>Individual</v>
      </c>
      <c r="D41" s="14">
        <f ca="1">IFERROR(__xludf.dummyfunction("""COMPUTED_VALUE"""),3)</f>
        <v>3</v>
      </c>
      <c r="E41" s="6" t="str">
        <f ca="1">IFERROR(__xludf.dummyfunction("""COMPUTED_VALUE"""),"The impact on my children and grandchildren, Loss of biodiversity, Floods and storms, Water shortages, Impacts of climate change on poorer communities elsewhere in the world, Climate migration")</f>
        <v>The impact on my children and grandchildren, Loss of biodiversity, Floods and storms, Water shortages, Impacts of climate change on poorer communities elsewhere in the world, Climate migration</v>
      </c>
      <c r="F41" s="6" t="str">
        <f ca="1">IFERROR(__xludf.dummyfunction("""COMPUTED_VALUE"""),"Nature friendly gardening (e.g. planting wildflowers, rewilding, using peat-free compost), Adopted a more climate-friendly diet (e.g. reduced meat consumption, buying local, buying food in season), Invested in an electric/hybrid car, Reduced my energy use"&amp;", Reused or repaired items, Composted or recycled waste")</f>
        <v>Nature friendly gardening (e.g. planting wildflowers, rewilding, using peat-free compost), Adopted a more climate-friendly diet (e.g. reduced meat consumption, buying local, buying food in season), Invested in an electric/hybrid car, Reduced my energy use, Reused or repaired items, Composted or recycled waste</v>
      </c>
      <c r="G41" s="6" t="str">
        <f ca="1">IFERROR(__xludf.dummyfunction("""COMPUTED_VALUE"""),"I believe it's up to those in power to lead")</f>
        <v>I believe it's up to those in power to lead</v>
      </c>
      <c r="H41" s="6" t="str">
        <f ca="1">IFERROR(__xludf.dummyfunction("""COMPUTED_VALUE"""),"Information about what I can do (including talks/demonstrations), Practical tasks or projects")</f>
        <v>Information about what I can do (including talks/demonstrations), Practical tasks or projects</v>
      </c>
      <c r="I41" s="6"/>
      <c r="J41" s="6"/>
      <c r="K41" s="6"/>
      <c r="L41" s="14" t="str">
        <f ca="1">IFERROR(__xludf.dummyfunction("""COMPUTED_VALUE"""),"45-54")</f>
        <v>45-54</v>
      </c>
      <c r="M41" s="6"/>
      <c r="N41" s="6"/>
      <c r="O41" s="6"/>
      <c r="P41" s="6"/>
      <c r="Q41" s="6"/>
      <c r="R41" s="6"/>
      <c r="S41" s="6"/>
      <c r="T41" s="6"/>
      <c r="U41" s="6"/>
      <c r="V41" s="6"/>
      <c r="W41" s="6"/>
      <c r="X41" s="6"/>
      <c r="Y41" s="6"/>
      <c r="Z41" s="6"/>
      <c r="AA41" s="6"/>
      <c r="AB41" s="6"/>
    </row>
    <row r="42" spans="1:28" ht="128.25">
      <c r="A42" s="6" t="s">
        <v>386</v>
      </c>
      <c r="B42" s="13">
        <f ca="1">IFERROR(__xludf.dummyfunction("""COMPUTED_VALUE"""),46151.3347855208)</f>
        <v>46151.334785520798</v>
      </c>
      <c r="C42" s="6" t="str">
        <f ca="1">IFERROR(__xludf.dummyfunction("""COMPUTED_VALUE"""),"Individual")</f>
        <v>Individual</v>
      </c>
      <c r="D42" s="14">
        <f ca="1">IFERROR(__xludf.dummyfunction("""COMPUTED_VALUE"""),5)</f>
        <v>5</v>
      </c>
      <c r="E42" s="6" t="str">
        <f ca="1">IFERROR(__xludf.dummyfunction("""COMPUTED_VALUE"""),"The impact on my children and grandchildren, Loss of biodiversity, Floods and storms, Higher bills (higher prices of food, water, energy, etc.), Impacts of climate change on poorer communities elsewhere in the world, Climate migration")</f>
        <v>The impact on my children and grandchildren, Loss of biodiversity, Floods and storms, Higher bills (higher prices of food, water, energy, etc.), Impacts of climate change on poorer communities elsewhere in the world, Climate migration</v>
      </c>
      <c r="F42" s="6" t="str">
        <f ca="1">IFERROR(__xludf.dummyfunction("""COMPUTED_VALUE"""),"Nature friendly gardening (e.g. planting wildflowers, rewilding, using peat-free compost), Used lower carbon ways of travelling (e.g. walking, cycling, public transport), Reduced my energy use, Installed insulation, Reused or repaired items, Composted or "&amp;"recycled waste, Reduced water use (e.g. install water butts, shorter showers), Taken political action (e.g. written to MP, taken part in campaigns or protests), Talked to friends and family about climate change or actions I've taken")</f>
        <v>Nature friendly gardening (e.g. planting wildflowers, rewilding, using peat-free compost), Used lower carbon ways of travelling (e.g. walking, cycling, public transport), Reduced my energy use, Installed insulation, Reused or repaired items, Composted or recycled waste, Reduced water use (e.g. install water butts, shorter showers), Taken political action (e.g. written to MP, taken part in campaigns or protests), Talked to friends and family about climate change or actions I've taken</v>
      </c>
      <c r="G42" s="6" t="str">
        <f ca="1">IFERROR(__xludf.dummyfunction("""COMPUTED_VALUE"""),"I don't have the money, I don't have the time")</f>
        <v>I don't have the money, I don't have the time</v>
      </c>
      <c r="H42" s="6" t="str">
        <f ca="1">IFERROR(__xludf.dummyfunction("""COMPUTED_VALUE"""),"Information about what I can do (including talks/demonstrations), Attending protests")</f>
        <v>Information about what I can do (including talks/demonstrations), Attending protests</v>
      </c>
      <c r="I42" s="6" t="str">
        <f ca="1">IFERROR(__xludf.dummyfunction("""COMPUTED_VALUE"""),"Focus on nature! Create more nature friendly environments (Hunter park has space) and we have lots of other spaces. Focusing in on habits. A campaign to ask people to create nature friendly gardens and ‘’how to tips’’. Ensure that the new building develop"&amp;"ments has green spaces and biodiversity thinking. Swift boxes. Let the hedgerows grow. Encourage wild meadows (hazely road land) Traffic lights at the bugle (get them in (what’s taking so long and reduce emissions). A bike track to winchester that is acce"&amp;"ssible
for families. ")</f>
        <v xml:space="preserve">Focus on nature! Create more nature friendly environments (Hunter park has space) and we have lots of other spaces. Focusing in on habits. A campaign to ask people to create nature friendly gardens and ‘’how to tips’’. Ensure that the new building developments has green spaces and biodiversity thinking. Swift boxes. Let the hedgerows grow. Encourage wild meadows (hazely road land) Traffic lights at the bugle (get them in (what’s taking so long and reduce emissions). A bike track to winchester that is accessible
for families. </v>
      </c>
      <c r="J42" s="6"/>
      <c r="K42" s="6"/>
      <c r="L42" s="14" t="str">
        <f ca="1">IFERROR(__xludf.dummyfunction("""COMPUTED_VALUE"""),"45-54")</f>
        <v>45-54</v>
      </c>
      <c r="M42" s="6"/>
      <c r="N42" s="6"/>
      <c r="O42" s="6"/>
      <c r="P42" s="6"/>
      <c r="Q42" s="6"/>
      <c r="R42" s="6"/>
      <c r="S42" s="6"/>
      <c r="T42" s="6"/>
      <c r="U42" s="6"/>
      <c r="V42" s="6"/>
      <c r="W42" s="6"/>
      <c r="X42" s="6"/>
      <c r="Y42" s="6"/>
      <c r="Z42" s="6"/>
      <c r="AA42" s="6"/>
      <c r="AB42" s="6"/>
    </row>
    <row r="43" spans="1:28" ht="57">
      <c r="A43" s="6" t="s">
        <v>386</v>
      </c>
      <c r="B43" s="13">
        <f ca="1">IFERROR(__xludf.dummyfunction("""COMPUTED_VALUE"""),46151.3421443287)</f>
        <v>46151.342144328701</v>
      </c>
      <c r="C43" s="6" t="str">
        <f ca="1">IFERROR(__xludf.dummyfunction("""COMPUTED_VALUE"""),"Household")</f>
        <v>Household</v>
      </c>
      <c r="D43" s="14">
        <f ca="1">IFERROR(__xludf.dummyfunction("""COMPUTED_VALUE"""),4)</f>
        <v>4</v>
      </c>
      <c r="E43" s="6" t="str">
        <f ca="1">IFERROR(__xludf.dummyfunction("""COMPUTED_VALUE"""),"The impact on my children and grandchildren, Loss of biodiversity")</f>
        <v>The impact on my children and grandchildren, Loss of biodiversity</v>
      </c>
      <c r="F43" s="6" t="str">
        <f ca="1">IFERROR(__xludf.dummyfunction("""COMPUTED_VALUE"""),"Used lower carbon ways of travelling (e.g. walking, cycling, public transport), Invested in an electric/hybrid car, Reduced my energy use, Composted or recycled waste, Reduced water use (e.g. install water butts, shorter showers), Talked to friends and fa"&amp;"mily about climate change or actions I've taken")</f>
        <v>Used lower carbon ways of travelling (e.g. walking, cycling, public transport), Invested in an electric/hybrid car, Reduced my energy use, Composted or recycled waste, Reduced water use (e.g. install water butts, shorter showers), Talked to friends and family about climate change or actions I've taken</v>
      </c>
      <c r="G43" s="6" t="str">
        <f ca="1">IFERROR(__xludf.dummyfunction("""COMPUTED_VALUE"""),"I don't have the money")</f>
        <v>I don't have the money</v>
      </c>
      <c r="H43" s="6" t="str">
        <f ca="1">IFERROR(__xludf.dummyfunction("""COMPUTED_VALUE"""),"Information about what I can do (including talks/demonstrations)")</f>
        <v>Information about what I can do (including talks/demonstrations)</v>
      </c>
      <c r="I43" s="6"/>
      <c r="J43" s="6"/>
      <c r="K43" s="6"/>
      <c r="L43" s="14" t="str">
        <f ca="1">IFERROR(__xludf.dummyfunction("""COMPUTED_VALUE"""),"35-44")</f>
        <v>35-44</v>
      </c>
      <c r="M43" s="6"/>
      <c r="N43" s="6"/>
      <c r="O43" s="6"/>
      <c r="P43" s="6"/>
      <c r="Q43" s="6"/>
      <c r="R43" s="6"/>
      <c r="S43" s="6"/>
      <c r="T43" s="6"/>
      <c r="U43" s="6"/>
      <c r="V43" s="6"/>
      <c r="W43" s="6"/>
      <c r="X43" s="6"/>
      <c r="Y43" s="6"/>
      <c r="Z43" s="6"/>
      <c r="AA43" s="6"/>
      <c r="AB43" s="6"/>
    </row>
    <row r="44" spans="1:28" ht="99.75">
      <c r="A44" s="6" t="s">
        <v>386</v>
      </c>
      <c r="B44" s="13">
        <f ca="1">IFERROR(__xludf.dummyfunction("""COMPUTED_VALUE"""),46151.3548928588)</f>
        <v>46151.354892858799</v>
      </c>
      <c r="C44" s="6" t="str">
        <f ca="1">IFERROR(__xludf.dummyfunction("""COMPUTED_VALUE"""),"Individual")</f>
        <v>Individual</v>
      </c>
      <c r="D44" s="14">
        <f ca="1">IFERROR(__xludf.dummyfunction("""COMPUTED_VALUE"""),5)</f>
        <v>5</v>
      </c>
      <c r="E44" s="6" t="str">
        <f ca="1">IFERROR(__xludf.dummyfunction("""COMPUTED_VALUE"""),"The impact on my children and grandchildren, Loss of biodiversity, Floods and storms, Water shortages, Extreme heat/wildfires, Higher bills (higher prices of food, water, energy, etc.), Economic/political instability, Impacts of climate change on poorer c"&amp;"ommunities elsewhere in the world, Climate migration")</f>
        <v>The impact on my children and grandchildren, Loss of biodiversity, Floods and storms, Water shortages, Extreme heat/wildfires, Higher bills (higher prices of food, water, energy, etc.), Economic/political instability, Impacts of climate change on poorer communities elsewhere in the world, Climate migration</v>
      </c>
      <c r="F44" s="6" t="str">
        <f ca="1">IFERROR(__xludf.dummyfunction("""COMPUTED_VALUE"""),"Nature friendly gardening (e.g. planting wildflowers, rewilding, using peat-free compost), Adopted a more climate-friendly diet (e.g. reduced meat consumption, buying local, buying food in season), Reduced my travel, Used lower carbon ways of travelling ("&amp;"e.g. walking, cycling, public transport), Invested in an electric/hybrid car, Reduced my energy use, Installed insulation, Composted or recycled waste, Reduced flood risk by replacing solid surfaces with permeable surfaces, Reduced water use (e.g. install"&amp;" water butts, shorter showers), Talked to friends and family about climate change or actions I've taken")</f>
        <v>Nature friendly gardening (e.g. planting wildflowers, rewilding, using peat-free compost), Adopted a more climate-friendly diet (e.g. reduced meat consumption, buying local, buying food in season), Reduced my travel, Used lower carbon ways of travelling (e.g. walking, cycling, public transport), Invested in an electric/hybrid car, Reduced my energy use, Installed insulation, Composted or recycled waste, Reduced flood risk by replacing solid surfaces with permeable surfaces, Reduced water use (e.g. install water butts, shorter showers), Talked to friends and family about climate change or actions I've taken</v>
      </c>
      <c r="G44" s="6" t="str">
        <f ca="1">IFERROR(__xludf.dummyfunction("""COMPUTED_VALUE"""),"I don't have the time")</f>
        <v>I don't have the time</v>
      </c>
      <c r="H44" s="6" t="str">
        <f ca="1">IFERROR(__xludf.dummyfunction("""COMPUTED_VALUE"""),"None of the above")</f>
        <v>None of the above</v>
      </c>
      <c r="I44" s="6" t="str">
        <f ca="1">IFERROR(__xludf.dummyfunction("""COMPUTED_VALUE"""),"Cycle path along main road from church lane to hockley 
")</f>
        <v xml:space="preserve">Cycle path along main road from church lane to hockley 
</v>
      </c>
      <c r="J44" s="6" t="str">
        <f ca="1">IFERROR(__xludf.dummyfunction("""COMPUTED_VALUE"""),"Greener Twyford Campaign  GTC")</f>
        <v>Greener Twyford Campaign  GTC</v>
      </c>
      <c r="K44" s="6"/>
      <c r="L44" s="14" t="str">
        <f ca="1">IFERROR(__xludf.dummyfunction("""COMPUTED_VALUE"""),"55-64")</f>
        <v>55-64</v>
      </c>
      <c r="M44" s="6"/>
      <c r="N44" s="6"/>
      <c r="O44" s="6"/>
      <c r="P44" s="6"/>
      <c r="Q44" s="6"/>
      <c r="R44" s="6"/>
      <c r="S44" s="6"/>
      <c r="T44" s="6"/>
      <c r="U44" s="6"/>
      <c r="V44" s="6"/>
      <c r="W44" s="6"/>
      <c r="X44" s="6"/>
      <c r="Y44" s="6"/>
      <c r="Z44" s="6"/>
      <c r="AA44" s="6"/>
      <c r="AB44" s="6"/>
    </row>
    <row r="45" spans="1:28" ht="57">
      <c r="A45" s="6" t="s">
        <v>386</v>
      </c>
      <c r="B45" s="13">
        <f ca="1">IFERROR(__xludf.dummyfunction("""COMPUTED_VALUE"""),46151.3698210069)</f>
        <v>46151.369821006898</v>
      </c>
      <c r="C45" s="6" t="str">
        <f ca="1">IFERROR(__xludf.dummyfunction("""COMPUTED_VALUE"""),"Household")</f>
        <v>Household</v>
      </c>
      <c r="D45" s="14">
        <f ca="1">IFERROR(__xludf.dummyfunction("""COMPUTED_VALUE"""),3)</f>
        <v>3</v>
      </c>
      <c r="E45" s="6" t="str">
        <f ca="1">IFERROR(__xludf.dummyfunction("""COMPUTED_VALUE"""),"The impact on my children and grandchildren, Loss of biodiversity, Floods and storms, Water shortages, Higher bills (higher prices of food, water, energy, etc.), Economic/political instability, Impacts of climate change on poorer communities elsewhere in "&amp;"the world")</f>
        <v>The impact on my children and grandchildren, Loss of biodiversity, Floods and storms, Water shortages, Higher bills (higher prices of food, water, energy, etc.), Economic/political instability, Impacts of climate change on poorer communities elsewhere in the world</v>
      </c>
      <c r="F45" s="6" t="str">
        <f ca="1">IFERROR(__xludf.dummyfunction("""COMPUTED_VALUE"""),"Nature friendly gardening (e.g. planting wildflowers, rewilding, using peat-free compost), Reduced my travel, Installed insulation, Installed a greener heating system, Hired or borrowed items instead of buying, Reused or repaired items, Composted or recyc"&amp;"led waste")</f>
        <v>Nature friendly gardening (e.g. planting wildflowers, rewilding, using peat-free compost), Reduced my travel, Installed insulation, Installed a greener heating system, Hired or borrowed items instead of buying, Reused or repaired items, Composted or recycled waste</v>
      </c>
      <c r="G45" s="6" t="str">
        <f ca="1">IFERROR(__xludf.dummyfunction("""COMPUTED_VALUE"""),"I don't know what I can do, I don't have the time")</f>
        <v>I don't know what I can do, I don't have the time</v>
      </c>
      <c r="H45" s="6" t="str">
        <f ca="1">IFERROR(__xludf.dummyfunction("""COMPUTED_VALUE"""),"Information about what I can do (including talks/demonstrations), Practical tasks or projects")</f>
        <v>Information about what I can do (including talks/demonstrations), Practical tasks or projects</v>
      </c>
      <c r="I45" s="6"/>
      <c r="J45" s="6"/>
      <c r="K45" s="6"/>
      <c r="L45" s="14" t="str">
        <f ca="1">IFERROR(__xludf.dummyfunction("""COMPUTED_VALUE"""),"45-54")</f>
        <v>45-54</v>
      </c>
      <c r="M45" s="6"/>
      <c r="N45" s="6"/>
      <c r="O45" s="6"/>
      <c r="P45" s="6"/>
      <c r="Q45" s="6"/>
      <c r="R45" s="6"/>
      <c r="S45" s="6"/>
      <c r="T45" s="6"/>
      <c r="U45" s="6"/>
      <c r="V45" s="6"/>
      <c r="W45" s="6"/>
      <c r="X45" s="6"/>
      <c r="Y45" s="6"/>
      <c r="Z45" s="6"/>
      <c r="AA45" s="6"/>
      <c r="AB45" s="6"/>
    </row>
    <row r="46" spans="1:28" ht="99.75">
      <c r="A46" s="6" t="s">
        <v>386</v>
      </c>
      <c r="B46" s="13">
        <f ca="1">IFERROR(__xludf.dummyfunction("""COMPUTED_VALUE"""),46151.3885431366)</f>
        <v>46151.3885431366</v>
      </c>
      <c r="C46" s="6" t="str">
        <f ca="1">IFERROR(__xludf.dummyfunction("""COMPUTED_VALUE"""),"Household")</f>
        <v>Household</v>
      </c>
      <c r="D46" s="14">
        <f ca="1">IFERROR(__xludf.dummyfunction("""COMPUTED_VALUE"""),4)</f>
        <v>4</v>
      </c>
      <c r="E46" s="6" t="str">
        <f ca="1">IFERROR(__xludf.dummyfunction("""COMPUTED_VALUE"""),"The impact on my children and grandchildren, Loss of biodiversity, Floods and storms, Water shortages, Extreme heat/wildfires, Higher bills (higher prices of food, water, energy, etc.), Economic/political instability, Impacts of climate change on poorer c"&amp;"ommunities elsewhere in the world, Climate migration")</f>
        <v>The impact on my children and grandchildren, Loss of biodiversity, Floods and storms, Water shortages, Extreme heat/wildfires, Higher bills (higher prices of food, water, energy, etc.), Economic/political instability, Impacts of climate change on poorer communities elsewhere in the world, Climate migration</v>
      </c>
      <c r="F46" s="6" t="str">
        <f ca="1">IFERROR(__xludf.dummyfunction("""COMPUTED_VALUE"""),"Nature friendly gardening (e.g. planting wildflowers, rewilding, using peat-free compost), Adopted a more climate-friendly diet (e.g. reduced meat consumption, buying local, buying food in season), Reduced my travel, Used lower carbon ways of travelling ("&amp;"e.g. walking, cycling, public transport), Reduced my energy use, Reused or repaired items, Composted or recycled waste, Reduced water use (e.g. install water butts, shorter showers), Reduced heat risk (e.g. additional planting, shading around my property)"&amp;", Joined a climate or environmental group, Support/donate to campaigns, organisations pro nature, fighting class mate change")</f>
        <v>Nature friendly gardening (e.g. planting wildflowers, rewilding, using peat-free compost), Adopted a more climate-friendly diet (e.g. reduced meat consumption, buying local, buying food in season), Reduced my travel, Used lower carbon ways of travelling (e.g. walking, cycling, public transport), Reduced my energy use, Reused or repaired items, Composted or recycled waste, Reduced water use (e.g. install water butts, shorter showers), Reduced heat risk (e.g. additional planting, shading around my property), Joined a climate or environmental group, Support/donate to campaigns, organisations pro nature, fighting class mate change</v>
      </c>
      <c r="G46" s="6" t="str">
        <f ca="1">IFERROR(__xludf.dummyfunction("""COMPUTED_VALUE"""),"I feel stuck, It’s hard in face of international conflict, Trump’s scorn for climate activism and the difficulties letting go of fossil fuels around the world to feel our village can make a difference. ")</f>
        <v xml:space="preserve">I feel stuck, It’s hard in face of international conflict, Trump’s scorn for climate activism and the difficulties letting go of fossil fuels around the world to feel our village can make a difference. </v>
      </c>
      <c r="H46" s="6" t="str">
        <f ca="1">IFERROR(__xludf.dummyfunction("""COMPUTED_VALUE"""),"Information about what I can do (including talks/demonstrations), Joining others with similar interests so we can create action together, Practical tasks or projects")</f>
        <v>Information about what I can do (including talks/demonstrations), Joining others with similar interests so we can create action together, Practical tasks or projects</v>
      </c>
      <c r="I46" s="6" t="str">
        <f ca="1">IFERROR(__xludf.dummyfunction("""COMPUTED_VALUE"""),"Create an actionable plan, maybe link with other effective or local groups, there are already some good initiatives going on.  Bring in experts to  share knowledge and ideas. ")</f>
        <v xml:space="preserve">Create an actionable plan, maybe link with other effective or local groups, there are already some good initiatives going on.  Bring in experts to  share knowledge and ideas. </v>
      </c>
      <c r="J46" s="6" t="str">
        <f ca="1">IFERROR(__xludf.dummyfunction("""COMPUTED_VALUE"""),"Not at moment, sorry ")</f>
        <v xml:space="preserve">Not at moment, sorry </v>
      </c>
      <c r="K46" s="6"/>
      <c r="L46" s="14" t="str">
        <f ca="1">IFERROR(__xludf.dummyfunction("""COMPUTED_VALUE"""),"Over 65")</f>
        <v>Over 65</v>
      </c>
      <c r="M46" s="6"/>
      <c r="N46" s="6"/>
      <c r="O46" s="6"/>
      <c r="P46" s="6"/>
      <c r="Q46" s="6"/>
      <c r="R46" s="6"/>
      <c r="S46" s="6"/>
      <c r="T46" s="6"/>
      <c r="U46" s="6"/>
      <c r="V46" s="6"/>
      <c r="W46" s="6"/>
      <c r="X46" s="6"/>
      <c r="Y46" s="6"/>
      <c r="Z46" s="6"/>
      <c r="AA46" s="6"/>
      <c r="AB46" s="6"/>
    </row>
    <row r="47" spans="1:28" ht="42.75">
      <c r="A47" s="6" t="s">
        <v>386</v>
      </c>
      <c r="B47" s="13">
        <f ca="1">IFERROR(__xludf.dummyfunction("""COMPUTED_VALUE"""),46151.3931854861)</f>
        <v>46151.3931854861</v>
      </c>
      <c r="C47" s="6" t="str">
        <f ca="1">IFERROR(__xludf.dummyfunction("""COMPUTED_VALUE"""),"Individual")</f>
        <v>Individual</v>
      </c>
      <c r="D47" s="14">
        <f ca="1">IFERROR(__xludf.dummyfunction("""COMPUTED_VALUE"""),2)</f>
        <v>2</v>
      </c>
      <c r="E47" s="6" t="str">
        <f ca="1">IFERROR(__xludf.dummyfunction("""COMPUTED_VALUE"""),"Floods and storms, Water shortages, Impacts of climate change on poorer communities elsewhere in the world")</f>
        <v>Floods and storms, Water shortages, Impacts of climate change on poorer communities elsewhere in the world</v>
      </c>
      <c r="F47" s="6" t="str">
        <f ca="1">IFERROR(__xludf.dummyfunction("""COMPUTED_VALUE"""),"Adopted a more climate-friendly diet (e.g. reduced meat consumption, buying local, buying food in season), Reduced my energy use, Hired or borrowed items instead of buying, Reused or repaired items, Composted or recycled waste")</f>
        <v>Adopted a more climate-friendly diet (e.g. reduced meat consumption, buying local, buying food in season), Reduced my energy use, Hired or borrowed items instead of buying, Reused or repaired items, Composted or recycled waste</v>
      </c>
      <c r="G47" s="6" t="str">
        <f ca="1">IFERROR(__xludf.dummyfunction("""COMPUTED_VALUE"""),"I don't have the money, I don't have the time")</f>
        <v>I don't have the money, I don't have the time</v>
      </c>
      <c r="H47" s="6" t="str">
        <f ca="1">IFERROR(__xludf.dummyfunction("""COMPUTED_VALUE"""),"None of the above")</f>
        <v>None of the above</v>
      </c>
      <c r="I47" s="6"/>
      <c r="J47" s="6"/>
      <c r="K47" s="6"/>
      <c r="L47" s="14" t="str">
        <f ca="1">IFERROR(__xludf.dummyfunction("""COMPUTED_VALUE"""),"55-64")</f>
        <v>55-64</v>
      </c>
      <c r="M47" s="6"/>
      <c r="N47" s="6"/>
      <c r="O47" s="6"/>
      <c r="P47" s="6"/>
      <c r="Q47" s="6"/>
      <c r="R47" s="6"/>
      <c r="S47" s="6"/>
      <c r="T47" s="6"/>
      <c r="U47" s="6"/>
      <c r="V47" s="6"/>
      <c r="W47" s="6"/>
      <c r="X47" s="6"/>
      <c r="Y47" s="6"/>
      <c r="Z47" s="6"/>
      <c r="AA47" s="6"/>
      <c r="AB47" s="6"/>
    </row>
    <row r="48" spans="1:28" ht="99.75">
      <c r="A48" s="6" t="s">
        <v>386</v>
      </c>
      <c r="B48" s="13">
        <f ca="1">IFERROR(__xludf.dummyfunction("""COMPUTED_VALUE"""),46151.3958793981)</f>
        <v>46151.3958793981</v>
      </c>
      <c r="C48" s="6" t="str">
        <f ca="1">IFERROR(__xludf.dummyfunction("""COMPUTED_VALUE"""),"Individual")</f>
        <v>Individual</v>
      </c>
      <c r="D48" s="14">
        <f ca="1">IFERROR(__xludf.dummyfunction("""COMPUTED_VALUE"""),5)</f>
        <v>5</v>
      </c>
      <c r="E48" s="6" t="str">
        <f ca="1">IFERROR(__xludf.dummyfunction("""COMPUTED_VALUE"""),"The impact on my children and grandchildren, Loss of biodiversity, Floods and storms, Water shortages, Extreme heat/wildfires, Higher bills (higher prices of food, water, energy, etc.), Economic/political instability, Impacts of climate change on poorer c"&amp;"ommunities elsewhere in the world, Climate migration")</f>
        <v>The impact on my children and grandchildren, Loss of biodiversity, Floods and storms, Water shortages, Extreme heat/wildfires, Higher bills (higher prices of food, water, energy, etc.), Economic/political instability, Impacts of climate change on poorer communities elsewhere in the world, Climate migration</v>
      </c>
      <c r="F48" s="6" t="str">
        <f ca="1">IFERROR(__xludf.dummyfunction("""COMPUTED_VALUE"""),"Nature friendly gardening (e.g. planting wildflowers, rewilding, using peat-free compost), Adopted a more climate-friendly diet (e.g. reduced meat consumption, buying local, buying food in season), Reduced my travel, Used lower carbon ways of travelling ("&amp;"e.g. walking, cycling, public transport), Invested in an electric/hybrid car, Installed insulation, Hired or borrowed items instead of buying, Reused or repaired items, Composted or recycled waste, Reduced flood risk by replacing solid surfaces with perme"&amp;"able surfaces, Moved my money to sustainable banks or invested in sustainable funds, Talked to friends and family about climate change or actions I've taken")</f>
        <v>Nature friendly gardening (e.g. planting wildflowers, rewilding, using peat-free compost), Adopted a more climate-friendly diet (e.g. reduced meat consumption, buying local, buying food in season), Reduced my travel, Used lower carbon ways of travelling (e.g. walking, cycling, public transport), Invested in an electric/hybrid car, Installed insulation, Hired or borrowed items instead of buying, Reused or repaired items, Composted or recycled waste, Reduced flood risk by replacing solid surfaces with permeable surfaces, Moved my money to sustainable banks or invested in sustainable funds, Talked to friends and family about climate change or actions I've taken</v>
      </c>
      <c r="G48" s="6" t="str">
        <f ca="1">IFERROR(__xludf.dummyfunction("""COMPUTED_VALUE"""),"I don't have the money, I feel stuck")</f>
        <v>I don't have the money, I feel stuck</v>
      </c>
      <c r="H48" s="6" t="str">
        <f ca="1">IFERROR(__xludf.dummyfunction("""COMPUTED_VALUE"""),"Joining others with similar interests so we can create action together, Practical tasks or projects, Setting up locally run projects or campaigns")</f>
        <v>Joining others with similar interests so we can create action together, Practical tasks or projects, Setting up locally run projects or campaigns</v>
      </c>
      <c r="I48" s="6" t="str">
        <f ca="1">IFERROR(__xludf.dummyfunction("""COMPUTED_VALUE"""),"Lobbying for the b3335 to be 20mph, and action to protect the local rare chalk stream habit")</f>
        <v>Lobbying for the b3335 to be 20mph, and action to protect the local rare chalk stream habit</v>
      </c>
      <c r="J48" s="6"/>
      <c r="K48" s="6"/>
      <c r="L48" s="14" t="str">
        <f ca="1">IFERROR(__xludf.dummyfunction("""COMPUTED_VALUE"""),"35-44")</f>
        <v>35-44</v>
      </c>
      <c r="M48" s="6"/>
      <c r="N48" s="6"/>
      <c r="O48" s="6"/>
      <c r="P48" s="6"/>
      <c r="Q48" s="6"/>
      <c r="R48" s="6"/>
      <c r="S48" s="6"/>
      <c r="T48" s="6"/>
      <c r="U48" s="6"/>
      <c r="V48" s="6"/>
      <c r="W48" s="6"/>
      <c r="X48" s="6"/>
      <c r="Y48" s="6"/>
      <c r="Z48" s="6"/>
      <c r="AA48" s="6"/>
      <c r="AB48" s="6"/>
    </row>
    <row r="49" spans="1:28" ht="71.25">
      <c r="A49" s="6" t="s">
        <v>386</v>
      </c>
      <c r="B49" s="13">
        <f ca="1">IFERROR(__xludf.dummyfunction("""COMPUTED_VALUE"""),46151.4865427778)</f>
        <v>46151.486542777799</v>
      </c>
      <c r="C49" s="6" t="str">
        <f ca="1">IFERROR(__xludf.dummyfunction("""COMPUTED_VALUE"""),"Individual")</f>
        <v>Individual</v>
      </c>
      <c r="D49" s="14">
        <f ca="1">IFERROR(__xludf.dummyfunction("""COMPUTED_VALUE"""),4)</f>
        <v>4</v>
      </c>
      <c r="E49" s="6" t="str">
        <f ca="1">IFERROR(__xludf.dummyfunction("""COMPUTED_VALUE"""),"The impact on my children and grandchildren, Loss of biodiversity, Floods and storms, Impacts of climate change on poorer communities elsewhere in the world")</f>
        <v>The impact on my children and grandchildren, Loss of biodiversity, Floods and storms, Impacts of climate change on poorer communities elsewhere in the world</v>
      </c>
      <c r="F49" s="6" t="str">
        <f ca="1">IFERROR(__xludf.dummyfunction("""COMPUTED_VALUE"""),"Nature friendly gardening (e.g. planting wildflowers, rewilding, using peat-free compost), Adopted a more climate-friendly diet (e.g. reduced meat consumption, buying local, buying food in season), Installed insulation, Installed a greener heating system,"&amp;" Reused or repaired items, Composted or recycled waste, Joined a climate or environmental group")</f>
        <v>Nature friendly gardening (e.g. planting wildflowers, rewilding, using peat-free compost), Adopted a more climate-friendly diet (e.g. reduced meat consumption, buying local, buying food in season), Installed insulation, Installed a greener heating system, Reused or repaired items, Composted or recycled waste, Joined a climate or environmental group</v>
      </c>
      <c r="G49" s="6" t="str">
        <f ca="1">IFERROR(__xludf.dummyfunction("""COMPUTED_VALUE"""),"I don't know what I can do, I don't believe I can have an impact, I believe it's up to those in power to lead")</f>
        <v>I don't know what I can do, I don't believe I can have an impact, I believe it's up to those in power to lead</v>
      </c>
      <c r="H49" s="6" t="str">
        <f ca="1">IFERROR(__xludf.dummyfunction("""COMPUTED_VALUE"""),"Information about what I can do (including talks/demonstrations), Joining others with similar interests so we can create action together, Setting up locally run projects or campaigns")</f>
        <v>Information about what I can do (including talks/demonstrations), Joining others with similar interests so we can create action together, Setting up locally run projects or campaigns</v>
      </c>
      <c r="I49" s="6" t="str">
        <f ca="1">IFERROR(__xludf.dummyfunction("""COMPUTED_VALUE"""),"Spread awareness and ideas for reduce our climate impact as individuals and households. Providing options that we can take ")</f>
        <v xml:space="preserve">Spread awareness and ideas for reduce our climate impact as individuals and households. Providing options that we can take </v>
      </c>
      <c r="J49" s="6"/>
      <c r="K49" s="6"/>
      <c r="L49" s="14" t="str">
        <f ca="1">IFERROR(__xludf.dummyfunction("""COMPUTED_VALUE"""),"16-24")</f>
        <v>16-24</v>
      </c>
      <c r="M49" s="6"/>
      <c r="N49" s="6"/>
      <c r="O49" s="6"/>
      <c r="P49" s="6"/>
      <c r="Q49" s="6"/>
      <c r="R49" s="6"/>
      <c r="S49" s="6"/>
      <c r="T49" s="6"/>
      <c r="U49" s="6"/>
      <c r="V49" s="6"/>
      <c r="W49" s="6"/>
      <c r="X49" s="6"/>
      <c r="Y49" s="6"/>
      <c r="Z49" s="6"/>
      <c r="AA49" s="6"/>
      <c r="AB49" s="6"/>
    </row>
    <row r="50" spans="1:28" ht="28.5">
      <c r="A50" s="6" t="s">
        <v>386</v>
      </c>
      <c r="B50" s="13">
        <f ca="1">IFERROR(__xludf.dummyfunction("""COMPUTED_VALUE"""),46154.4651856134)</f>
        <v>46154.465185613401</v>
      </c>
      <c r="C50" s="6" t="str">
        <f ca="1">IFERROR(__xludf.dummyfunction("""COMPUTED_VALUE"""),"Individual")</f>
        <v>Individual</v>
      </c>
      <c r="D50" s="14">
        <f ca="1">IFERROR(__xludf.dummyfunction("""COMPUTED_VALUE"""),5)</f>
        <v>5</v>
      </c>
      <c r="E50" s="6" t="str">
        <f ca="1">IFERROR(__xludf.dummyfunction("""COMPUTED_VALUE"""),"The impact on my children and grandchildren, Loss of biodiversity, Impacts of climate change on poorer communities elsewhere in the world")</f>
        <v>The impact on my children and grandchildren, Loss of biodiversity, Impacts of climate change on poorer communities elsewhere in the world</v>
      </c>
      <c r="F50" s="6" t="str">
        <f ca="1">IFERROR(__xludf.dummyfunction("""COMPUTED_VALUE"""),"Nature friendly gardening (e.g. planting wildflowers, rewilding, using peat-free compost), Reduced water use (e.g. install water butts, shorter showers)")</f>
        <v>Nature friendly gardening (e.g. planting wildflowers, rewilding, using peat-free compost), Reduced water use (e.g. install water butts, shorter showers)</v>
      </c>
      <c r="G50" s="6" t="str">
        <f ca="1">IFERROR(__xludf.dummyfunction("""COMPUTED_VALUE"""),"I feel stuck")</f>
        <v>I feel stuck</v>
      </c>
      <c r="H50" s="6" t="str">
        <f ca="1">IFERROR(__xludf.dummyfunction("""COMPUTED_VALUE"""),"Practical tasks or projects")</f>
        <v>Practical tasks or projects</v>
      </c>
      <c r="I50" s="6"/>
      <c r="J50" s="6"/>
      <c r="K50" s="6"/>
      <c r="L50" s="14" t="str">
        <f ca="1">IFERROR(__xludf.dummyfunction("""COMPUTED_VALUE"""),"45-54")</f>
        <v>45-54</v>
      </c>
      <c r="M50" s="6"/>
      <c r="N50" s="6"/>
      <c r="O50" s="6"/>
      <c r="P50" s="6"/>
      <c r="Q50" s="6"/>
      <c r="R50" s="6"/>
      <c r="S50" s="6"/>
      <c r="T50" s="6"/>
      <c r="U50" s="6"/>
      <c r="V50" s="6"/>
      <c r="W50" s="6"/>
      <c r="X50" s="6"/>
      <c r="Y50" s="6"/>
      <c r="Z50" s="6"/>
      <c r="AA50" s="6"/>
      <c r="AB50" s="6"/>
    </row>
    <row r="51" spans="1:28" ht="85.5">
      <c r="A51" s="6" t="s">
        <v>386</v>
      </c>
      <c r="B51" s="13">
        <f ca="1">IFERROR(__xludf.dummyfunction("""COMPUTED_VALUE"""),46158.8801008912)</f>
        <v>46158.880100891198</v>
      </c>
      <c r="C51" s="6" t="str">
        <f ca="1">IFERROR(__xludf.dummyfunction("""COMPUTED_VALUE"""),"Individual")</f>
        <v>Individual</v>
      </c>
      <c r="D51" s="14">
        <f ca="1">IFERROR(__xludf.dummyfunction("""COMPUTED_VALUE"""),4)</f>
        <v>4</v>
      </c>
      <c r="E51" s="6" t="str">
        <f ca="1">IFERROR(__xludf.dummyfunction("""COMPUTED_VALUE"""),"The impact on my children and grandchildren, Loss of biodiversity, Floods and storms, Water shortages, Extreme heat/wildfires, Higher bills (higher prices of food, water, energy, etc.), Impacts of climate change on poorer communities elsewhere in the worl"&amp;"d, Climate migration")</f>
        <v>The impact on my children and grandchildren, Loss of biodiversity, Floods and storms, Water shortages, Extreme heat/wildfires, Higher bills (higher prices of food, water, energy, etc.), Impacts of climate change on poorer communities elsewhere in the world, Climate migration</v>
      </c>
      <c r="F51" s="6" t="str">
        <f ca="1">IFERROR(__xludf.dummyfunction("""COMPUTED_VALUE"""),"Nature friendly gardening (e.g. planting wildflowers, rewilding, using peat-free compost), Invested in an electric/hybrid car, Composted or recycled waste, Reduced water use (e.g. install water butts, shorter showers), Talked to friends and family about c"&amp;"limate change or actions I've taken")</f>
        <v>Nature friendly gardening (e.g. planting wildflowers, rewilding, using peat-free compost), Invested in an electric/hybrid car, Composted or recycled waste, Reduced water use (e.g. install water butts, shorter showers), Talked to friends and family about climate change or actions I've taken</v>
      </c>
      <c r="G51" s="6" t="str">
        <f ca="1">IFERROR(__xludf.dummyfunction("""COMPUTED_VALUE"""),"I feel stuck")</f>
        <v>I feel stuck</v>
      </c>
      <c r="H51" s="6" t="str">
        <f ca="1">IFERROR(__xludf.dummyfunction("""COMPUTED_VALUE"""),"Information about what I can do (including talks/demonstrations), Joining others with similar interests so we can create action together, Practical tasks or projects, Setting up locally run projects or campaigns, Attending protests")</f>
        <v>Information about what I can do (including talks/demonstrations), Joining others with similar interests so we can create action together, Practical tasks or projects, Setting up locally run projects or campaigns, Attending protests</v>
      </c>
      <c r="I51" s="6" t="str">
        <f ca="1">IFERROR(__xludf.dummyfunction("""COMPUTED_VALUE"""),"Share knowledge and ideas")</f>
        <v>Share knowledge and ideas</v>
      </c>
      <c r="J51" s="6"/>
      <c r="K51" s="6"/>
      <c r="L51" s="14" t="str">
        <f ca="1">IFERROR(__xludf.dummyfunction("""COMPUTED_VALUE"""),"55-64")</f>
        <v>55-64</v>
      </c>
      <c r="M51" s="6"/>
      <c r="N51" s="6"/>
      <c r="O51" s="6"/>
      <c r="P51" s="6"/>
      <c r="Q51" s="6"/>
      <c r="R51" s="6"/>
      <c r="S51" s="6"/>
      <c r="T51" s="6"/>
      <c r="U51" s="6"/>
      <c r="V51" s="6"/>
      <c r="W51" s="6"/>
      <c r="X51" s="6"/>
      <c r="Y51" s="6"/>
      <c r="Z51" s="6"/>
      <c r="AA51" s="6"/>
      <c r="AB51" s="6"/>
    </row>
    <row r="52" spans="1:28" ht="85.5">
      <c r="A52" s="6" t="s">
        <v>386</v>
      </c>
      <c r="B52" s="13">
        <f ca="1">IFERROR(__xludf.dummyfunction("""COMPUTED_VALUE"""),46159.3688372338)</f>
        <v>46159.3688372338</v>
      </c>
      <c r="C52" s="6" t="str">
        <f ca="1">IFERROR(__xludf.dummyfunction("""COMPUTED_VALUE"""),"Household")</f>
        <v>Household</v>
      </c>
      <c r="D52" s="14">
        <f ca="1">IFERROR(__xludf.dummyfunction("""COMPUTED_VALUE"""),5)</f>
        <v>5</v>
      </c>
      <c r="E52" s="6" t="str">
        <f ca="1">IFERROR(__xludf.dummyfunction("""COMPUTED_VALUE"""),"The impact on my children and grandchildren, Loss of biodiversity, Floods and storms, Water shortages, Extreme heat/wildfires, Higher bills (higher prices of food, water, energy, etc.), Economic/political instability, Impacts of climate change on poorer c"&amp;"ommunities elsewhere in the world, Climate migration")</f>
        <v>The impact on my children and grandchildren, Loss of biodiversity, Floods and storms, Water shortages, Extreme heat/wildfires, Higher bills (higher prices of food, water, energy, etc.), Economic/political instability, Impacts of climate change on poorer communities elsewhere in the world, Climate migration</v>
      </c>
      <c r="F52" s="6" t="str">
        <f ca="1">IFERROR(__xludf.dummyfunction("""COMPUTED_VALUE"""),"Nature friendly gardening (e.g. planting wildflowers, rewilding, using peat-free compost), Used lower carbon ways of travelling (e.g. walking, cycling, public transport), Invested in an electric/hybrid car, Reduced my energy use, Installed insulation, Ins"&amp;"talled a greener heating system, Hired or borrowed items instead of buying, Reused or repaired items, Composted or recycled waste, Reduced water use (e.g. install water butts, shorter showers), Reduced heat risk (e.g. additional planting, shading around m"&amp;"y property)")</f>
        <v>Nature friendly gardening (e.g. planting wildflowers, rewilding, using peat-free compost), Used lower carbon ways of travelling (e.g. walking, cycling, public transport), Invested in an electric/hybrid car, Reduced my energy use, Installed insulation, Installed a greener heating system, Hired or borrowed items instead of buying, Reused or repaired items, Composted or recycled waste, Reduced water use (e.g. install water butts, shorter showers), Reduced heat risk (e.g. additional planting, shading around my property)</v>
      </c>
      <c r="G52" s="6" t="str">
        <f ca="1">IFERROR(__xludf.dummyfunction("""COMPUTED_VALUE"""),"I don't know what I can do, I've done as much as I can")</f>
        <v>I don't know what I can do, I've done as much as I can</v>
      </c>
      <c r="H52" s="6" t="str">
        <f ca="1">IFERROR(__xludf.dummyfunction("""COMPUTED_VALUE"""),"Information about what I can do (including talks/demonstrations), Practical tasks or projects")</f>
        <v>Information about what I can do (including talks/demonstrations), Practical tasks or projects</v>
      </c>
      <c r="I52" s="6"/>
      <c r="J52" s="6"/>
      <c r="K52" s="6"/>
      <c r="L52" s="14" t="str">
        <f ca="1">IFERROR(__xludf.dummyfunction("""COMPUTED_VALUE"""),"Over 65")</f>
        <v>Over 65</v>
      </c>
      <c r="M52" s="6"/>
      <c r="N52" s="6"/>
      <c r="O52" s="6"/>
      <c r="P52" s="6"/>
      <c r="Q52" s="6"/>
      <c r="R52" s="6"/>
      <c r="S52" s="6"/>
      <c r="T52" s="6"/>
      <c r="U52" s="6"/>
      <c r="V52" s="6"/>
      <c r="W52" s="6"/>
      <c r="X52" s="6"/>
      <c r="Y52" s="6"/>
      <c r="Z52" s="6"/>
      <c r="AA52" s="6"/>
      <c r="AB52" s="6"/>
    </row>
    <row r="53" spans="1:28" ht="128.25">
      <c r="A53" s="6" t="s">
        <v>386</v>
      </c>
      <c r="B53" s="13">
        <f ca="1">IFERROR(__xludf.dummyfunction("""COMPUTED_VALUE"""),46159.7970018287)</f>
        <v>46159.797001828701</v>
      </c>
      <c r="C53" s="6" t="str">
        <f ca="1">IFERROR(__xludf.dummyfunction("""COMPUTED_VALUE"""),"Individual")</f>
        <v>Individual</v>
      </c>
      <c r="D53" s="14">
        <f ca="1">IFERROR(__xludf.dummyfunction("""COMPUTED_VALUE"""),5)</f>
        <v>5</v>
      </c>
      <c r="E53" s="6" t="str">
        <f ca="1">IFERROR(__xludf.dummyfunction("""COMPUTED_VALUE"""),"Loss of biodiversity, Floods and storms, Water shortages, Extreme heat/wildfires, Higher bills (higher prices of food, water, energy, etc.), Economic/political instability, Impacts of climate change on poorer communities elsewhere in the world, Climate mi"&amp;"gration")</f>
        <v>Loss of biodiversity, Floods and storms, Water shortages, Extreme heat/wildfires, Higher bills (higher prices of food, water, energy, etc.), Economic/political instability, Impacts of climate change on poorer communities elsewhere in the world, Climate migration</v>
      </c>
      <c r="F53" s="6" t="str">
        <f ca="1">IFERROR(__xludf.dummyfunction("""COMPUTED_VALUE"""),"Nature friendly gardening (e.g. planting wildflowers, rewilding, using peat-free compost), Adopted a more climate-friendly diet (e.g. reduced meat consumption, buying local, buying food in season), Reduced my travel, Invested in an electric/hybrid car, Re"&amp;"duced my energy use, Installed insulation, Hired or borrowed items instead of buying, Reused or repaired items, Composted or recycled waste, Reduced flood risk by replacing solid surfaces with permeable surfaces, Reduced water use (e.g. install water butt"&amp;"s, shorter showers), Reduced heat risk (e.g. additional planting, shading around my property), Moved my money to sustainable banks or invested in sustainable funds, Taken political action (e.g. written to MP, taken part in campaigns or protests), Joined a"&amp;" climate or environmental group, Talked to friends and family about climate change or actions I've taken")</f>
        <v>Nature friendly gardening (e.g. planting wildflowers, rewilding, using peat-free compost), Adopted a more climate-friendly diet (e.g. reduced meat consumption, buying local, buying food in season), Reduced my travel, Invested in an electric/hybrid car, Reduced my energy use, Installed insulation, Hired or borrowed items instead of buying, Reused or repaired items, Composted or recycled waste, Reduced flood risk by replacing solid surfaces with permeable surfaces, Reduced water use (e.g. install water butts, shorter showers), Reduced heat risk (e.g. additional planting, shading around my property), Moved my money to sustainable banks or invested in sustainable funds, Taken political action (e.g. written to MP, taken part in campaigns or protests), Joined a climate or environmental group, Talked to friends and family about climate change or actions I've taken</v>
      </c>
      <c r="G53" s="6" t="str">
        <f ca="1">IFERROR(__xludf.dummyfunction("""COMPUTED_VALUE"""),"I don't have the money, I don't have the time, The construction of my house means I can’t use an alternative heating system")</f>
        <v>I don't have the money, I don't have the time, The construction of my house means I can’t use an alternative heating system</v>
      </c>
      <c r="H53" s="6" t="str">
        <f ca="1">IFERROR(__xludf.dummyfunction("""COMPUTED_VALUE"""),"Information about what I can do (including talks/demonstrations), Joining others with similar interests so we can create action together, Opportunities to talk about my feelings about climate change, Practical tasks or projects, Attending protests")</f>
        <v>Information about what I can do (including talks/demonstrations), Joining others with similar interests so we can create action together, Opportunities to talk about my feelings about climate change, Practical tasks or projects, Attending protests</v>
      </c>
      <c r="I53" s="6" t="str">
        <f ca="1">IFERROR(__xludf.dummyfunction("""COMPUTED_VALUE"""),"Encourage recycling, invest in greener energy and help the community understand what they can do collectively and as an individual ")</f>
        <v xml:space="preserve">Encourage recycling, invest in greener energy and help the community understand what they can do collectively and as an individual </v>
      </c>
      <c r="J53" s="6" t="str">
        <f ca="1">IFERROR(__xludf.dummyfunction("""COMPUTED_VALUE"""),"The Green Guardians of Twyford or Twyford Nature Collective, ")</f>
        <v xml:space="preserve">The Green Guardians of Twyford or Twyford Nature Collective, </v>
      </c>
      <c r="K53" s="6" t="str">
        <f ca="1">IFERROR(__xludf.dummyfunction("""COMPUTED_VALUE"""),"It has come to my attention that many people are starting to think climate change is a scam. I think it is important to help educate these people and how climate change is causing difficulties on our doorstep. ")</f>
        <v xml:space="preserve">It has come to my attention that many people are starting to think climate change is a scam. I think it is important to help educate these people and how climate change is causing difficulties on our doorstep. </v>
      </c>
      <c r="L53" s="14" t="str">
        <f ca="1">IFERROR(__xludf.dummyfunction("""COMPUTED_VALUE"""),"55-64")</f>
        <v>55-64</v>
      </c>
      <c r="M53" s="6"/>
      <c r="N53" s="6"/>
      <c r="O53" s="6"/>
      <c r="P53" s="6"/>
      <c r="Q53" s="6"/>
      <c r="R53" s="6"/>
      <c r="S53" s="6"/>
      <c r="T53" s="6"/>
      <c r="U53" s="6"/>
      <c r="V53" s="6"/>
      <c r="W53" s="6"/>
      <c r="X53" s="6"/>
      <c r="Y53" s="6"/>
      <c r="Z53" s="6"/>
      <c r="AA53" s="6"/>
      <c r="AB53" s="6"/>
    </row>
    <row r="54" spans="1:28" ht="57">
      <c r="A54" s="6" t="s">
        <v>386</v>
      </c>
      <c r="B54" s="13">
        <f ca="1">IFERROR(__xludf.dummyfunction("""COMPUTED_VALUE"""),46181.6220763194)</f>
        <v>46181.6220763194</v>
      </c>
      <c r="C54" s="6" t="str">
        <f ca="1">IFERROR(__xludf.dummyfunction("""COMPUTED_VALUE"""),"Household")</f>
        <v>Household</v>
      </c>
      <c r="D54" s="14">
        <f ca="1">IFERROR(__xludf.dummyfunction("""COMPUTED_VALUE"""),5)</f>
        <v>5</v>
      </c>
      <c r="E54" s="6" t="str">
        <f ca="1">IFERROR(__xludf.dummyfunction("""COMPUTED_VALUE"""),"The impact on my children and grandchildren, Loss of biodiversity, Floods and storms, Water shortages, Extreme heat/wildfires, Impacts of climate change on poorer communities elsewhere in the world")</f>
        <v>The impact on my children and grandchildren, Loss of biodiversity, Floods and storms, Water shortages, Extreme heat/wildfires, Impacts of climate change on poorer communities elsewhere in the world</v>
      </c>
      <c r="F54" s="6" t="str">
        <f ca="1">IFERROR(__xludf.dummyfunction("""COMPUTED_VALUE"""),"Adopted a more climate-friendly diet (e.g. reduced meat consumption, buying local, buying food in season), Invested in an electric/hybrid car, Hired or borrowed items instead of buying, Reused or repaired items, Composted or recycled waste")</f>
        <v>Adopted a more climate-friendly diet (e.g. reduced meat consumption, buying local, buying food in season), Invested in an electric/hybrid car, Hired or borrowed items instead of buying, Reused or repaired items, Composted or recycled waste</v>
      </c>
      <c r="G54" s="6" t="str">
        <f ca="1">IFERROR(__xludf.dummyfunction("""COMPUTED_VALUE"""),"I don't have the time")</f>
        <v>I don't have the time</v>
      </c>
      <c r="H54" s="6" t="str">
        <f ca="1">IFERROR(__xludf.dummyfunction("""COMPUTED_VALUE"""),"Information about what I can do (including talks/demonstrations), Joining others with similar interests so we can create action together, Practical tasks or projects")</f>
        <v>Information about what I can do (including talks/demonstrations), Joining others with similar interests so we can create action together, Practical tasks or projects</v>
      </c>
      <c r="I54" s="6"/>
      <c r="J54" s="6"/>
      <c r="K54" s="6"/>
      <c r="L54" s="14" t="str">
        <f ca="1">IFERROR(__xludf.dummyfunction("""COMPUTED_VALUE"""),"25-34")</f>
        <v>25-34</v>
      </c>
      <c r="M54" s="6"/>
      <c r="N54" s="6"/>
      <c r="O54" s="6"/>
      <c r="P54" s="6"/>
      <c r="Q54" s="6"/>
      <c r="R54" s="6"/>
      <c r="S54" s="6"/>
      <c r="T54" s="6"/>
      <c r="U54" s="6"/>
      <c r="V54" s="6"/>
      <c r="W54" s="6"/>
      <c r="X54" s="6"/>
      <c r="Y54" s="6"/>
      <c r="Z54" s="6"/>
      <c r="AA54" s="6"/>
      <c r="AB54" s="6"/>
    </row>
    <row r="55" spans="1:28" ht="42.75">
      <c r="A55" s="6" t="s">
        <v>386</v>
      </c>
      <c r="B55" s="13">
        <f ca="1">IFERROR(__xludf.dummyfunction("""COMPUTED_VALUE"""),46181.6634807639)</f>
        <v>46181.663480763898</v>
      </c>
      <c r="C55" s="6" t="str">
        <f ca="1">IFERROR(__xludf.dummyfunction("""COMPUTED_VALUE"""),"Individual")</f>
        <v>Individual</v>
      </c>
      <c r="D55" s="14">
        <f ca="1">IFERROR(__xludf.dummyfunction("""COMPUTED_VALUE"""),4)</f>
        <v>4</v>
      </c>
      <c r="E55" s="6" t="str">
        <f ca="1">IFERROR(__xludf.dummyfunction("""COMPUTED_VALUE"""),"The impact on my children and grandchildren, Floods and storms, Water shortages, Higher bills (higher prices of food, water, energy, etc.)")</f>
        <v>The impact on my children and grandchildren, Floods and storms, Water shortages, Higher bills (higher prices of food, water, energy, etc.)</v>
      </c>
      <c r="F55" s="6" t="str">
        <f ca="1">IFERROR(__xludf.dummyfunction("""COMPUTED_VALUE"""),"Adopted a more climate-friendly diet (e.g. reduced meat consumption, buying local, buying food in season), Reduced my travel, Reused or repaired items, Reduced water use (e.g. install water butts, shorter showers)")</f>
        <v>Adopted a more climate-friendly diet (e.g. reduced meat consumption, buying local, buying food in season), Reduced my travel, Reused or repaired items, Reduced water use (e.g. install water butts, shorter showers)</v>
      </c>
      <c r="G55" s="6" t="str">
        <f ca="1">IFERROR(__xludf.dummyfunction("""COMPUTED_VALUE"""),"I don't know what I can do")</f>
        <v>I don't know what I can do</v>
      </c>
      <c r="H55" s="6" t="str">
        <f ca="1">IFERROR(__xludf.dummyfunction("""COMPUTED_VALUE"""),"Information about what I can do (including talks/demonstrations)")</f>
        <v>Information about what I can do (including talks/demonstrations)</v>
      </c>
      <c r="I55" s="6" t="str">
        <f ca="1">IFERROR(__xludf.dummyfunction("""COMPUTED_VALUE"""),"Reduce large vehicles using our village as a short cut to M3")</f>
        <v>Reduce large vehicles using our village as a short cut to M3</v>
      </c>
      <c r="J55" s="6"/>
      <c r="K55" s="6"/>
      <c r="L55" s="14" t="str">
        <f ca="1">IFERROR(__xludf.dummyfunction("""COMPUTED_VALUE"""),"Over 65")</f>
        <v>Over 65</v>
      </c>
      <c r="M55" s="6"/>
      <c r="N55" s="6"/>
      <c r="O55" s="6"/>
      <c r="P55" s="6"/>
      <c r="Q55" s="6"/>
      <c r="R55" s="6"/>
      <c r="S55" s="6"/>
      <c r="T55" s="6"/>
      <c r="U55" s="6"/>
      <c r="V55" s="6"/>
      <c r="W55" s="6"/>
      <c r="X55" s="6"/>
      <c r="Y55" s="6"/>
      <c r="Z55" s="6"/>
      <c r="AA55" s="6"/>
      <c r="AB55" s="6"/>
    </row>
    <row r="56" spans="1:28" ht="57">
      <c r="A56" s="6" t="s">
        <v>386</v>
      </c>
      <c r="B56" s="13">
        <f ca="1">IFERROR(__xludf.dummyfunction("""COMPUTED_VALUE"""),46181.7032469445)</f>
        <v>46181.703246944497</v>
      </c>
      <c r="C56" s="6" t="str">
        <f ca="1">IFERROR(__xludf.dummyfunction("""COMPUTED_VALUE"""),"Household")</f>
        <v>Household</v>
      </c>
      <c r="D56" s="14">
        <f ca="1">IFERROR(__xludf.dummyfunction("""COMPUTED_VALUE"""),3)</f>
        <v>3</v>
      </c>
      <c r="E56" s="6" t="str">
        <f ca="1">IFERROR(__xludf.dummyfunction("""COMPUTED_VALUE"""),"Floods and storms, Extreme heat/wildfires, Economic/political instability")</f>
        <v>Floods and storms, Extreme heat/wildfires, Economic/political instability</v>
      </c>
      <c r="F56" s="6" t="str">
        <f ca="1">IFERROR(__xludf.dummyfunction("""COMPUTED_VALUE"""),"Adopted a more climate-friendly diet (e.g. reduced meat consumption, buying local, buying food in season), Reduced my travel, Used lower carbon ways of travelling (e.g. walking, cycling, public transport), Reduced my energy use, Installed insulation, Hire"&amp;"d or borrowed items instead of buying, Reused or repaired items, Reduced water use (e.g. install water butts, shorter showers)")</f>
        <v>Adopted a more climate-friendly diet (e.g. reduced meat consumption, buying local, buying food in season), Reduced my travel, Used lower carbon ways of travelling (e.g. walking, cycling, public transport), Reduced my energy use, Installed insulation, Hired or borrowed items instead of buying, Reused or repaired items, Reduced water use (e.g. install water butts, shorter showers)</v>
      </c>
      <c r="G56" s="6" t="str">
        <f ca="1">IFERROR(__xludf.dummyfunction("""COMPUTED_VALUE"""),"I don't believe I can have an impact, I've done as much as I can")</f>
        <v>I don't believe I can have an impact, I've done as much as I can</v>
      </c>
      <c r="H56" s="6" t="str">
        <f ca="1">IFERROR(__xludf.dummyfunction("""COMPUTED_VALUE"""),"Practical tasks or projects, Setting up locally run projects or campaigns")</f>
        <v>Practical tasks or projects, Setting up locally run projects or campaigns</v>
      </c>
      <c r="I56" s="6" t="str">
        <f ca="1">IFERROR(__xludf.dummyfunction("""COMPUTED_VALUE"""),"Community energy projects")</f>
        <v>Community energy projects</v>
      </c>
      <c r="J56" s="6"/>
      <c r="K56" s="6"/>
      <c r="L56" s="14" t="str">
        <f ca="1">IFERROR(__xludf.dummyfunction("""COMPUTED_VALUE"""),"55-64")</f>
        <v>55-64</v>
      </c>
      <c r="M56" s="6"/>
      <c r="N56" s="6"/>
      <c r="O56" s="6"/>
      <c r="P56" s="6"/>
      <c r="Q56" s="6"/>
      <c r="R56" s="6"/>
      <c r="S56" s="6"/>
      <c r="T56" s="6"/>
      <c r="U56" s="6"/>
      <c r="V56" s="6"/>
      <c r="W56" s="6"/>
      <c r="X56" s="6"/>
      <c r="Y56" s="6"/>
      <c r="Z56" s="6"/>
      <c r="AA56" s="6"/>
      <c r="AB56" s="6"/>
    </row>
    <row r="57" spans="1:28" ht="85.5">
      <c r="A57" s="6" t="s">
        <v>386</v>
      </c>
      <c r="B57" s="13">
        <f ca="1">IFERROR(__xludf.dummyfunction("""COMPUTED_VALUE"""),46181.7098579051)</f>
        <v>46181.709857905102</v>
      </c>
      <c r="C57" s="6" t="str">
        <f ca="1">IFERROR(__xludf.dummyfunction("""COMPUTED_VALUE"""),"Household")</f>
        <v>Household</v>
      </c>
      <c r="D57" s="14">
        <f ca="1">IFERROR(__xludf.dummyfunction("""COMPUTED_VALUE"""),5)</f>
        <v>5</v>
      </c>
      <c r="E57" s="6" t="str">
        <f ca="1">IFERROR(__xludf.dummyfunction("""COMPUTED_VALUE"""),"The impact on my children and grandchildren, Economic/political instability")</f>
        <v>The impact on my children and grandchildren, Economic/political instability</v>
      </c>
      <c r="F57" s="6" t="str">
        <f ca="1">IFERROR(__xludf.dummyfunction("""COMPUTED_VALUE"""),"Nature friendly gardening (e.g. planting wildflowers, rewilding, using peat-free compost), Adopted a more climate-friendly diet (e.g. reduced meat consumption, buying local, buying food in season), Used lower carbon ways of travelling (e.g. walking, cycli"&amp;"ng, public transport), Invested in an electric/hybrid car, Reduced my energy use, Installed insulation, Hired or borrowed items instead of buying, Reused or repaired items, Composted or recycled waste, Reduced water use (e.g. install water butts, shorter "&amp;"showers), Moved my money to sustainable banks or invested in sustainable funds")</f>
        <v>Nature friendly gardening (e.g. planting wildflowers, rewilding, using peat-free compost), Adopted a more climate-friendly diet (e.g. reduced meat consumption, buying local, buying food in season), Used lower carbon ways of travelling (e.g. walking, cycling, public transport), Invested in an electric/hybrid car, Reduced my energy use, Installed insulation, Hired or borrowed items instead of buying, Reused or repaired items, Composted or recycled waste, Reduced water use (e.g. install water butts, shorter showers), Moved my money to sustainable banks or invested in sustainable funds</v>
      </c>
      <c r="G57" s="6" t="str">
        <f ca="1">IFERROR(__xludf.dummyfunction("""COMPUTED_VALUE"""),"I don't believe I can have an impact")</f>
        <v>I don't believe I can have an impact</v>
      </c>
      <c r="H57" s="6" t="str">
        <f ca="1">IFERROR(__xludf.dummyfunction("""COMPUTED_VALUE"""),"Information about what I can do (including talks/demonstrations), Joining others with similar interests so we can create action together, Opportunities to talk about my feelings about climate change, Practical tasks or projects")</f>
        <v>Information about what I can do (including talks/demonstrations), Joining others with similar interests so we can create action together, Opportunities to talk about my feelings about climate change, Practical tasks or projects</v>
      </c>
      <c r="I57" s="6" t="str">
        <f ca="1">IFERROR(__xludf.dummyfunction("""COMPUTED_VALUE"""),"Reduce, Reuse, Recycle ")</f>
        <v xml:space="preserve">Reduce, Reuse, Recycle </v>
      </c>
      <c r="J57" s="6"/>
      <c r="K57" s="6"/>
      <c r="L57" s="14" t="str">
        <f ca="1">IFERROR(__xludf.dummyfunction("""COMPUTED_VALUE"""),"Over 65")</f>
        <v>Over 65</v>
      </c>
      <c r="M57" s="6"/>
      <c r="N57" s="6"/>
      <c r="O57" s="6"/>
      <c r="P57" s="6"/>
      <c r="Q57" s="6"/>
      <c r="R57" s="6"/>
      <c r="S57" s="6"/>
      <c r="T57" s="6"/>
      <c r="U57" s="6"/>
      <c r="V57" s="6"/>
      <c r="W57" s="6"/>
      <c r="X57" s="6"/>
      <c r="Y57" s="6"/>
      <c r="Z57" s="6"/>
      <c r="AA57" s="6"/>
      <c r="AB57" s="6"/>
    </row>
    <row r="58" spans="1:28" ht="57">
      <c r="A58" s="6" t="s">
        <v>386</v>
      </c>
      <c r="B58" s="13">
        <f ca="1">IFERROR(__xludf.dummyfunction("""COMPUTED_VALUE"""),46181.7285322801)</f>
        <v>46181.728532280104</v>
      </c>
      <c r="C58" s="6" t="str">
        <f ca="1">IFERROR(__xludf.dummyfunction("""COMPUTED_VALUE"""),"Individual")</f>
        <v>Individual</v>
      </c>
      <c r="D58" s="14">
        <f ca="1">IFERROR(__xludf.dummyfunction("""COMPUTED_VALUE"""),4)</f>
        <v>4</v>
      </c>
      <c r="E58" s="6" t="str">
        <f ca="1">IFERROR(__xludf.dummyfunction("""COMPUTED_VALUE"""),"The impact on my children and grandchildren, Loss of biodiversity, Floods and storms, Water shortages, Extreme heat/wildfires, Higher bills (higher prices of food, water, energy, etc.)")</f>
        <v>The impact on my children and grandchildren, Loss of biodiversity, Floods and storms, Water shortages, Extreme heat/wildfires, Higher bills (higher prices of food, water, energy, etc.)</v>
      </c>
      <c r="F58" s="6" t="str">
        <f ca="1">IFERROR(__xludf.dummyfunction("""COMPUTED_VALUE"""),"Nature friendly gardening (e.g. planting wildflowers, rewilding, using peat-free compost), Reduced my travel, Installed insulation, Composted or recycled waste, Reduced flood risk by replacing solid surfaces with permeable surfaces, Talked to friends and "&amp;"family about climate change or actions I've taken")</f>
        <v>Nature friendly gardening (e.g. planting wildflowers, rewilding, using peat-free compost), Reduced my travel, Installed insulation, Composted or recycled waste, Reduced flood risk by replacing solid surfaces with permeable surfaces, Talked to friends and family about climate change or actions I've taken</v>
      </c>
      <c r="G58" s="6" t="str">
        <f ca="1">IFERROR(__xludf.dummyfunction("""COMPUTED_VALUE"""),"I don't have the money")</f>
        <v>I don't have the money</v>
      </c>
      <c r="H58" s="6" t="str">
        <f ca="1">IFERROR(__xludf.dummyfunction("""COMPUTED_VALUE"""),"Practical tasks or projects, Setting up locally run projects or campaigns")</f>
        <v>Practical tasks or projects, Setting up locally run projects or campaigns</v>
      </c>
      <c r="I58" s="6" t="str">
        <f ca="1">IFERROR(__xludf.dummyfunction("""COMPUTED_VALUE"""),"Reduce traffic")</f>
        <v>Reduce traffic</v>
      </c>
      <c r="J58" s="6"/>
      <c r="K58" s="6"/>
      <c r="L58" s="14" t="str">
        <f ca="1">IFERROR(__xludf.dummyfunction("""COMPUTED_VALUE"""),"45-54")</f>
        <v>45-54</v>
      </c>
      <c r="M58" s="6"/>
      <c r="N58" s="6"/>
      <c r="O58" s="6"/>
      <c r="P58" s="6"/>
      <c r="Q58" s="6"/>
      <c r="R58" s="6"/>
      <c r="S58" s="6"/>
      <c r="T58" s="6"/>
      <c r="U58" s="6"/>
      <c r="V58" s="6"/>
      <c r="W58" s="6"/>
      <c r="X58" s="6"/>
      <c r="Y58" s="6"/>
      <c r="Z58" s="6"/>
      <c r="AA58" s="6"/>
      <c r="AB58" s="6"/>
    </row>
    <row r="59" spans="1:28" ht="14.25">
      <c r="A59" s="6" t="s">
        <v>386</v>
      </c>
      <c r="B59" s="13">
        <f ca="1">IFERROR(__xludf.dummyfunction("""COMPUTED_VALUE"""),46181.7368391319)</f>
        <v>46181.736839131903</v>
      </c>
      <c r="C59" s="6" t="str">
        <f ca="1">IFERROR(__xludf.dummyfunction("""COMPUTED_VALUE"""),"Individual")</f>
        <v>Individual</v>
      </c>
      <c r="D59" s="14">
        <f ca="1">IFERROR(__xludf.dummyfunction("""COMPUTED_VALUE"""),0)</f>
        <v>0</v>
      </c>
      <c r="E59" s="6" t="str">
        <f ca="1">IFERROR(__xludf.dummyfunction("""COMPUTED_VALUE"""),"Water shortages")</f>
        <v>Water shortages</v>
      </c>
      <c r="F59" s="6" t="str">
        <f ca="1">IFERROR(__xludf.dummyfunction("""COMPUTED_VALUE"""),"Composted or recycled waste")</f>
        <v>Composted or recycled waste</v>
      </c>
      <c r="G59" s="6" t="str">
        <f ca="1">IFERROR(__xludf.dummyfunction("""COMPUTED_VALUE"""),"I don't have the time")</f>
        <v>I don't have the time</v>
      </c>
      <c r="H59" s="6" t="str">
        <f ca="1">IFERROR(__xludf.dummyfunction("""COMPUTED_VALUE"""),"None of the above")</f>
        <v>None of the above</v>
      </c>
      <c r="I59" s="6"/>
      <c r="J59" s="6"/>
      <c r="K59" s="6"/>
      <c r="L59" s="14" t="str">
        <f ca="1">IFERROR(__xludf.dummyfunction("""COMPUTED_VALUE"""),"Over 65")</f>
        <v>Over 65</v>
      </c>
      <c r="M59" s="6"/>
      <c r="N59" s="6"/>
      <c r="O59" s="6"/>
      <c r="P59" s="6"/>
      <c r="Q59" s="6"/>
      <c r="R59" s="6"/>
      <c r="S59" s="6"/>
      <c r="T59" s="6"/>
      <c r="U59" s="6"/>
      <c r="V59" s="6"/>
      <c r="W59" s="6"/>
      <c r="X59" s="6"/>
      <c r="Y59" s="6"/>
      <c r="Z59" s="6"/>
      <c r="AA59" s="6"/>
      <c r="AB59" s="6"/>
    </row>
    <row r="60" spans="1:28" ht="28.5">
      <c r="A60" s="6" t="s">
        <v>386</v>
      </c>
      <c r="B60" s="13">
        <f ca="1">IFERROR(__xludf.dummyfunction("""COMPUTED_VALUE"""),46181.8602929051)</f>
        <v>46181.860292905098</v>
      </c>
      <c r="C60" s="6" t="str">
        <f ca="1">IFERROR(__xludf.dummyfunction("""COMPUTED_VALUE"""),"Individual")</f>
        <v>Individual</v>
      </c>
      <c r="D60" s="14">
        <f ca="1">IFERROR(__xludf.dummyfunction("""COMPUTED_VALUE"""),4)</f>
        <v>4</v>
      </c>
      <c r="E60" s="6" t="str">
        <f ca="1">IFERROR(__xludf.dummyfunction("""COMPUTED_VALUE"""),"Loss of biodiversity, Water shortages, Extreme heat/wildfires, Higher bills (higher prices of food, water, energy, etc.), Economic/political instability")</f>
        <v>Loss of biodiversity, Water shortages, Extreme heat/wildfires, Higher bills (higher prices of food, water, energy, etc.), Economic/political instability</v>
      </c>
      <c r="F60" s="6" t="str">
        <f ca="1">IFERROR(__xludf.dummyfunction("""COMPUTED_VALUE"""),"Reused or repaired items, Composted or recycled waste")</f>
        <v>Reused or repaired items, Composted or recycled waste</v>
      </c>
      <c r="G60" s="6" t="str">
        <f ca="1">IFERROR(__xludf.dummyfunction("""COMPUTED_VALUE"""),"I believe it's up to those in power to lead")</f>
        <v>I believe it's up to those in power to lead</v>
      </c>
      <c r="H60" s="6" t="str">
        <f ca="1">IFERROR(__xludf.dummyfunction("""COMPUTED_VALUE"""),"Information about what I can do (including talks/demonstrations)")</f>
        <v>Information about what I can do (including talks/demonstrations)</v>
      </c>
      <c r="I60" s="6"/>
      <c r="J60" s="6"/>
      <c r="K60" s="6"/>
      <c r="L60" s="14" t="str">
        <f ca="1">IFERROR(__xludf.dummyfunction("""COMPUTED_VALUE"""),"35-44")</f>
        <v>35-44</v>
      </c>
      <c r="M60" s="6"/>
      <c r="N60" s="6"/>
      <c r="O60" s="6"/>
      <c r="P60" s="6"/>
      <c r="Q60" s="6"/>
      <c r="R60" s="6"/>
      <c r="S60" s="6"/>
      <c r="T60" s="6"/>
      <c r="U60" s="6"/>
      <c r="V60" s="6"/>
      <c r="W60" s="6"/>
      <c r="X60" s="6"/>
      <c r="Y60" s="6"/>
      <c r="Z60" s="6"/>
      <c r="AA60" s="6"/>
      <c r="AB60" s="6"/>
    </row>
    <row r="61" spans="1:28" ht="142.5">
      <c r="A61" s="6" t="s">
        <v>386</v>
      </c>
      <c r="B61" s="13">
        <f ca="1">IFERROR(__xludf.dummyfunction("""COMPUTED_VALUE"""),46181.9652331945)</f>
        <v>46181.965233194504</v>
      </c>
      <c r="C61" s="6" t="str">
        <f ca="1">IFERROR(__xludf.dummyfunction("""COMPUTED_VALUE"""),"Household")</f>
        <v>Household</v>
      </c>
      <c r="D61" s="14">
        <f ca="1">IFERROR(__xludf.dummyfunction("""COMPUTED_VALUE"""),5)</f>
        <v>5</v>
      </c>
      <c r="E61" s="6" t="str">
        <f ca="1">IFERROR(__xludf.dummyfunction("""COMPUTED_VALUE"""),"The impact on my children and grandchildren, Loss of biodiversity, Floods and storms, Higher bills (higher prices of food, water, energy, etc.), Economic/political instability")</f>
        <v>The impact on my children and grandchildren, Loss of biodiversity, Floods and storms, Higher bills (higher prices of food, water, energy, etc.), Economic/political instability</v>
      </c>
      <c r="F61" s="6" t="str">
        <f ca="1">IFERROR(__xludf.dummyfunction("""COMPUTED_VALUE"""),"Nature friendly gardening (e.g. planting wildflowers, rewilding, using peat-free compost), Adopted a more climate-friendly diet (e.g. reduced meat consumption, buying local, buying food in season), Reduced my travel, Used lower carbon ways of travelling ("&amp;"e.g. walking, cycling, public transport), Reduced my energy use, Installed insulation, Hired or borrowed items instead of buying, Reused or repaired items, Composted or recycled waste, Reduced flood risk by replacing solid surfaces with permeable surfaces"&amp;", Reduced water use (e.g. install water butts, shorter showers), Reduced heat risk (e.g. additional planting, shading around my property), Taken political action (e.g. written to MP, taken part in campaigns or protests), Joined a climate or environmental "&amp;"group, Talked to friends and family about climate change or actions I've taken, Started a cycling business to bring more sustainable transport solutions to our community and beyond")</f>
        <v>Nature friendly gardening (e.g. planting wildflowers, rewilding, using peat-free compost), Adopted a more climate-friendly diet (e.g. reduced meat consumption, buying local, buying food in season), Reduced my travel, Used lower carbon ways of travelling (e.g. walking, cycling, public transport), Reduced my energy use, Installed insulation, Hired or borrowed items instead of buying, Reused or repaired items, Composted or recycled waste, Reduced flood risk by replacing solid surfaces with permeable surfaces, Reduced water use (e.g. install water butts, shorter showers), Reduced heat risk (e.g. additional planting, shading around my property), Taken political action (e.g. written to MP, taken part in campaigns or protests), Joined a climate or environmental group, Talked to friends and family about climate change or actions I've taken, Started a cycling business to bring more sustainable transport solutions to our community and beyond</v>
      </c>
      <c r="G61" s="6" t="str">
        <f ca="1">IFERROR(__xludf.dummyfunction("""COMPUTED_VALUE"""),"I don't have the money, I don't have the time, Those in power lack the true ambition to deliver meaningful and impactful climate change. Policies and schemes that suit politic points scoring but fail to address the real problems with joined up and practic"&amp;"al solutions ")</f>
        <v xml:space="preserve">I don't have the money, I don't have the time, Those in power lack the true ambition to deliver meaningful and impactful climate change. Policies and schemes that suit politic points scoring but fail to address the real problems with joined up and practical solutions </v>
      </c>
      <c r="H61" s="6" t="str">
        <f ca="1">IFERROR(__xludf.dummyfunction("""COMPUTED_VALUE"""),"Information about what I can do (including talks/demonstrations), Joining others with similar interests so we can create action together, Sharing my skills and knowledge with others, Setting up locally run projects or campaigns")</f>
        <v>Information about what I can do (including talks/demonstrations), Joining others with similar interests so we can create action together, Sharing my skills and knowledge with others, Setting up locally run projects or campaigns</v>
      </c>
      <c r="I61" s="6" t="str">
        <f ca="1">IFERROR(__xludf.dummyfunction("""COMPUTED_VALUE"""),"Reduce car usage, promote healthy lifestyles for all, especially the young. Deliver infrastructure and financial support to make greener alternatives a viable option for more people. ")</f>
        <v xml:space="preserve">Reduce car usage, promote healthy lifestyles for all, especially the young. Deliver infrastructure and financial support to make greener alternatives a viable option for more people. </v>
      </c>
      <c r="J61" s="6" t="str">
        <f ca="1">IFERROR(__xludf.dummyfunction("""COMPUTED_VALUE"""),"Twyford Wants it Greener (TWIG)")</f>
        <v>Twyford Wants it Greener (TWIG)</v>
      </c>
      <c r="K61" s="6" t="str">
        <f ca="1">IFERROR(__xludf.dummyfunction("""COMPUTED_VALUE"""),"Engagement from young people is essential. The future belongs to them but they’re under represented and therefore potentially under valued in our community. Engagement with all local organisations and bringing them together would be a great start. ")</f>
        <v xml:space="preserve">Engagement from young people is essential. The future belongs to them but they’re under represented and therefore potentially under valued in our community. Engagement with all local organisations and bringing them together would be a great start. </v>
      </c>
      <c r="L61" s="14" t="str">
        <f ca="1">IFERROR(__xludf.dummyfunction("""COMPUTED_VALUE"""),"45-54")</f>
        <v>45-54</v>
      </c>
      <c r="M61" s="6"/>
      <c r="N61" s="6"/>
      <c r="O61" s="6"/>
      <c r="P61" s="6"/>
      <c r="Q61" s="6"/>
      <c r="R61" s="6"/>
      <c r="S61" s="6"/>
      <c r="T61" s="6"/>
      <c r="U61" s="6"/>
      <c r="V61" s="6"/>
      <c r="W61" s="6"/>
      <c r="X61" s="6"/>
      <c r="Y61" s="6"/>
      <c r="Z61" s="6"/>
      <c r="AA61" s="6"/>
      <c r="AB61" s="6"/>
    </row>
    <row r="62" spans="1:28" ht="71.25">
      <c r="A62" s="6" t="s">
        <v>386</v>
      </c>
      <c r="B62" s="13">
        <f ca="1">IFERROR(__xludf.dummyfunction("""COMPUTED_VALUE"""),46182.3485621181)</f>
        <v>46182.348562118103</v>
      </c>
      <c r="C62" s="6" t="str">
        <f ca="1">IFERROR(__xludf.dummyfunction("""COMPUTED_VALUE"""),"Individual")</f>
        <v>Individual</v>
      </c>
      <c r="D62" s="14">
        <f ca="1">IFERROR(__xludf.dummyfunction("""COMPUTED_VALUE"""),5)</f>
        <v>5</v>
      </c>
      <c r="E62" s="6" t="str">
        <f ca="1">IFERROR(__xludf.dummyfunction("""COMPUTED_VALUE"""),"The impact on my children and grandchildren, Loss of biodiversity, Water shortages, Extreme heat/wildfires, Impacts of climate change on poorer communities elsewhere in the world")</f>
        <v>The impact on my children and grandchildren, Loss of biodiversity, Water shortages, Extreme heat/wildfires, Impacts of climate change on poorer communities elsewhere in the world</v>
      </c>
      <c r="F62" s="6" t="str">
        <f ca="1">IFERROR(__xludf.dummyfunction("""COMPUTED_VALUE"""),"Adopted a more climate-friendly diet (e.g. reduced meat consumption, buying local, buying food in season), Reduced my travel, Invested in an electric/hybrid car, Reduced my energy use, Installed insulation, Hired or borrowed items instead of buying, Compo"&amp;"sted or recycled waste, Taken political action (e.g. written to MP, taken part in campaigns or protests), Joined a climate or environmental group, Talked to friends and family about climate change or actions I've taken")</f>
        <v>Adopted a more climate-friendly diet (e.g. reduced meat consumption, buying local, buying food in season), Reduced my travel, Invested in an electric/hybrid car, Reduced my energy use, Installed insulation, Hired or borrowed items instead of buying, Composted or recycled waste, Taken political action (e.g. written to MP, taken part in campaigns or protests), Joined a climate or environmental group, Talked to friends and family about climate change or actions I've taken</v>
      </c>
      <c r="G62" s="6" t="str">
        <f ca="1">IFERROR(__xludf.dummyfunction("""COMPUTED_VALUE"""),"I've done as much as I can")</f>
        <v>I've done as much as I can</v>
      </c>
      <c r="H62" s="6" t="str">
        <f ca="1">IFERROR(__xludf.dummyfunction("""COMPUTED_VALUE"""),"Joining others with similar interests so we can create action together, Practical tasks or projects, Setting up locally run projects or campaigns, Attending protests")</f>
        <v>Joining others with similar interests so we can create action together, Practical tasks or projects, Setting up locally run projects or campaigns, Attending protests</v>
      </c>
      <c r="I62" s="6"/>
      <c r="J62" s="6"/>
      <c r="K62" s="6"/>
      <c r="L62" s="14" t="str">
        <f ca="1">IFERROR(__xludf.dummyfunction("""COMPUTED_VALUE"""),"45-54")</f>
        <v>45-54</v>
      </c>
      <c r="M62" s="6"/>
      <c r="N62" s="6"/>
      <c r="O62" s="6"/>
      <c r="P62" s="6"/>
      <c r="Q62" s="6"/>
      <c r="R62" s="6"/>
      <c r="S62" s="6"/>
      <c r="T62" s="6"/>
      <c r="U62" s="6"/>
      <c r="V62" s="6"/>
      <c r="W62" s="6"/>
      <c r="X62" s="6"/>
      <c r="Y62" s="6"/>
      <c r="Z62" s="6"/>
      <c r="AA62" s="6"/>
      <c r="AB62" s="6"/>
    </row>
    <row r="63" spans="1:28" ht="57">
      <c r="A63" s="6" t="s">
        <v>386</v>
      </c>
      <c r="B63" s="13">
        <f ca="1">IFERROR(__xludf.dummyfunction("""COMPUTED_VALUE"""),46182.5850751042)</f>
        <v>46182.585075104202</v>
      </c>
      <c r="C63" s="6" t="str">
        <f ca="1">IFERROR(__xludf.dummyfunction("""COMPUTED_VALUE"""),"Household")</f>
        <v>Household</v>
      </c>
      <c r="D63" s="14">
        <f ca="1">IFERROR(__xludf.dummyfunction("""COMPUTED_VALUE"""),5)</f>
        <v>5</v>
      </c>
      <c r="E63" s="6" t="str">
        <f ca="1">IFERROR(__xludf.dummyfunction("""COMPUTED_VALUE"""),"The impact on my children and grandchildren, Loss of biodiversity, Floods and storms, Water shortages, Extreme heat/wildfires, Higher bills (higher prices of food, water, energy, etc.), Economic/political instability, Impacts of climate change on poorer c"&amp;"ommunities elsewhere in the world, Climate migration")</f>
        <v>The impact on my children and grandchildren, Loss of biodiversity, Floods and storms, Water shortages, Extreme heat/wildfires, Higher bills (higher prices of food, water, energy, etc.), Economic/political instability, Impacts of climate change on poorer communities elsewhere in the world, Climate migration</v>
      </c>
      <c r="F63" s="6" t="str">
        <f ca="1">IFERROR(__xludf.dummyfunction("""COMPUTED_VALUE"""),"Nature friendly gardening (e.g. planting wildflowers, rewilding, using peat-free compost), Used lower carbon ways of travelling (e.g. walking, cycling, public transport), Installed insulation, Reused or repaired items, Composted or recycled waste, Talked "&amp;"to friends and family about climate change or actions I've taken")</f>
        <v>Nature friendly gardening (e.g. planting wildflowers, rewilding, using peat-free compost), Used lower carbon ways of travelling (e.g. walking, cycling, public transport), Installed insulation, Reused or repaired items, Composted or recycled waste, Talked to friends and family about climate change or actions I've taken</v>
      </c>
      <c r="G63" s="6" t="str">
        <f ca="1">IFERROR(__xludf.dummyfunction("""COMPUTED_VALUE"""),"I believe it's up to those in power to lead")</f>
        <v>I believe it's up to those in power to lead</v>
      </c>
      <c r="H63" s="6" t="str">
        <f ca="1">IFERROR(__xludf.dummyfunction("""COMPUTED_VALUE"""),"Information about what I can do (including talks/demonstrations), Practical tasks or projects")</f>
        <v>Information about what I can do (including talks/demonstrations), Practical tasks or projects</v>
      </c>
      <c r="I63" s="6" t="str">
        <f ca="1">IFERROR(__xludf.dummyfunction("""COMPUTED_VALUE"""),"Inform our colleagues, friends, family")</f>
        <v>Inform our colleagues, friends, family</v>
      </c>
      <c r="J63" s="6" t="str">
        <f ca="1">IFERROR(__xludf.dummyfunction("""COMPUTED_VALUE"""),"Twyford Be The Change")</f>
        <v>Twyford Be The Change</v>
      </c>
      <c r="K63" s="6"/>
      <c r="L63" s="14" t="str">
        <f ca="1">IFERROR(__xludf.dummyfunction("""COMPUTED_VALUE"""),"45-54")</f>
        <v>45-54</v>
      </c>
      <c r="M63" s="6"/>
      <c r="N63" s="6"/>
      <c r="O63" s="6"/>
      <c r="P63" s="6"/>
      <c r="Q63" s="6"/>
      <c r="R63" s="6"/>
      <c r="S63" s="6"/>
      <c r="T63" s="6"/>
      <c r="U63" s="6"/>
      <c r="V63" s="6"/>
      <c r="W63" s="6"/>
      <c r="X63" s="6"/>
      <c r="Y63" s="6"/>
      <c r="Z63" s="6"/>
      <c r="AA63" s="6"/>
      <c r="AB63" s="6"/>
    </row>
    <row r="64" spans="1:28" ht="57">
      <c r="A64" s="6" t="s">
        <v>386</v>
      </c>
      <c r="B64" s="13">
        <f ca="1">IFERROR(__xludf.dummyfunction("""COMPUTED_VALUE"""),46184.6912098611)</f>
        <v>46184.691209861099</v>
      </c>
      <c r="C64" s="6" t="str">
        <f ca="1">IFERROR(__xludf.dummyfunction("""COMPUTED_VALUE"""),"Individual")</f>
        <v>Individual</v>
      </c>
      <c r="D64" s="14">
        <f ca="1">IFERROR(__xludf.dummyfunction("""COMPUTED_VALUE"""),5)</f>
        <v>5</v>
      </c>
      <c r="E64" s="6" t="str">
        <f ca="1">IFERROR(__xludf.dummyfunction("""COMPUTED_VALUE"""),"The impact on my children and grandchildren, Loss of biodiversity, Floods and storms, Water shortages, Extreme heat/wildfires, Higher bills (higher prices of food, water, energy, etc.), Economic/political instability, Impacts of climate change on poorer c"&amp;"ommunities elsewhere in the world")</f>
        <v>The impact on my children and grandchildren, Loss of biodiversity, Floods and storms, Water shortages, Extreme heat/wildfires, Higher bills (higher prices of food, water, energy, etc.), Economic/political instability, Impacts of climate change on poorer communities elsewhere in the world</v>
      </c>
      <c r="F64" s="6" t="str">
        <f ca="1">IFERROR(__xludf.dummyfunction("""COMPUTED_VALUE"""),"Nature friendly gardening (e.g. planting wildflowers, rewilding, using peat-free compost), Adopted a more climate-friendly diet (e.g. reduced meat consumption, buying local, buying food in season), Composted or recycled waste, Reduced water use (e.g. inst"&amp;"all water butts, shorter showers), Joined a climate or environmental group, Talked to friends and family about climate change or actions I've taken")</f>
        <v>Nature friendly gardening (e.g. planting wildflowers, rewilding, using peat-free compost), Adopted a more climate-friendly diet (e.g. reduced meat consumption, buying local, buying food in season), Composted or recycled waste, Reduced water use (e.g. install water butts, shorter showers), Joined a climate or environmental group, Talked to friends and family about climate change or actions I've taken</v>
      </c>
      <c r="G64" s="6" t="str">
        <f ca="1">IFERROR(__xludf.dummyfunction("""COMPUTED_VALUE"""),"I don't know what I can do")</f>
        <v>I don't know what I can do</v>
      </c>
      <c r="H64" s="6" t="str">
        <f ca="1">IFERROR(__xludf.dummyfunction("""COMPUTED_VALUE"""),"Information about what I can do (including talks/demonstrations), Joining others with similar interests so we can create action together, Practical tasks or projects")</f>
        <v>Information about what I can do (including talks/demonstrations), Joining others with similar interests so we can create action together, Practical tasks or projects</v>
      </c>
      <c r="I64" s="6" t="str">
        <f ca="1">IFERROR(__xludf.dummyfunction("""COMPUTED_VALUE"""),"Have. climate change in mind when making decisions.")</f>
        <v>Have. climate change in mind when making decisions.</v>
      </c>
      <c r="J64" s="6"/>
      <c r="K64" s="6"/>
      <c r="L64" s="14" t="str">
        <f ca="1">IFERROR(__xludf.dummyfunction("""COMPUTED_VALUE"""),"55-64")</f>
        <v>55-64</v>
      </c>
      <c r="M64" s="6"/>
      <c r="N64" s="6"/>
      <c r="O64" s="6"/>
      <c r="P64" s="6"/>
      <c r="Q64" s="6"/>
      <c r="R64" s="6"/>
      <c r="S64" s="6"/>
      <c r="T64" s="6"/>
      <c r="U64" s="6"/>
      <c r="V64" s="6"/>
      <c r="W64" s="6"/>
      <c r="X64" s="6"/>
      <c r="Y64" s="6"/>
      <c r="Z64" s="6"/>
      <c r="AA64" s="6"/>
      <c r="AB64" s="6"/>
    </row>
    <row r="65" spans="1:28" ht="71.25">
      <c r="A65" s="6" t="s">
        <v>386</v>
      </c>
      <c r="B65" s="13">
        <f ca="1">IFERROR(__xludf.dummyfunction("""COMPUTED_VALUE"""),46185.7832139236)</f>
        <v>46185.783213923598</v>
      </c>
      <c r="C65" s="6" t="str">
        <f ca="1">IFERROR(__xludf.dummyfunction("""COMPUTED_VALUE"""),"Household")</f>
        <v>Household</v>
      </c>
      <c r="D65" s="14">
        <f ca="1">IFERROR(__xludf.dummyfunction("""COMPUTED_VALUE"""),5)</f>
        <v>5</v>
      </c>
      <c r="E65" s="6" t="str">
        <f ca="1">IFERROR(__xludf.dummyfunction("""COMPUTED_VALUE"""),"The impact on my children and grandchildren, Loss of biodiversity, Floods and storms, Water shortages, Extreme heat/wildfires, Higher bills (higher prices of food, water, energy, etc.), Economic/political instability, Impacts of climate change on poorer c"&amp;"ommunities elsewhere in the world, Climate migration")</f>
        <v>The impact on my children and grandchildren, Loss of biodiversity, Floods and storms, Water shortages, Extreme heat/wildfires, Higher bills (higher prices of food, water, energy, etc.), Economic/political instability, Impacts of climate change on poorer communities elsewhere in the world, Climate migration</v>
      </c>
      <c r="F65" s="6" t="str">
        <f ca="1">IFERROR(__xludf.dummyfunction("""COMPUTED_VALUE"""),"Nature friendly gardening (e.g. planting wildflowers, rewilding, using peat-free compost), Adopted a more climate-friendly diet (e.g. reduced meat consumption, buying local, buying food in season), Installed insulation, Installed a greener heating system,"&amp;" Composted or recycled waste, Reduced water use (e.g. install water butts, shorter showers), Moved my money to sustainable banks or invested in sustainable funds")</f>
        <v>Nature friendly gardening (e.g. planting wildflowers, rewilding, using peat-free compost), Adopted a more climate-friendly diet (e.g. reduced meat consumption, buying local, buying food in season), Installed insulation, Installed a greener heating system, Composted or recycled waste, Reduced water use (e.g. install water butts, shorter showers), Moved my money to sustainable banks or invested in sustainable funds</v>
      </c>
      <c r="G65" s="6" t="str">
        <f ca="1">IFERROR(__xludf.dummyfunction("""COMPUTED_VALUE"""),"I've done as much as I can")</f>
        <v>I've done as much as I can</v>
      </c>
      <c r="H65" s="6" t="str">
        <f ca="1">IFERROR(__xludf.dummyfunction("""COMPUTED_VALUE"""),"Information about what I can do (including talks/demonstrations), Joining others with similar interests so we can create action together, Practical tasks or projects")</f>
        <v>Information about what I can do (including talks/demonstrations), Joining others with similar interests so we can create action together, Practical tasks or projects</v>
      </c>
      <c r="I65" s="6" t="str">
        <f ca="1">IFERROR(__xludf.dummyfunction("""COMPUTED_VALUE"""),"Recycle, recycle, recycle.")</f>
        <v>Recycle, recycle, recycle.</v>
      </c>
      <c r="J65" s="6" t="str">
        <f ca="1">IFERROR(__xludf.dummyfunction("""COMPUTED_VALUE"""),"Environmental Future Proofing Warriors ")</f>
        <v xml:space="preserve">Environmental Future Proofing Warriors </v>
      </c>
      <c r="K65" s="6"/>
      <c r="L65" s="14" t="str">
        <f ca="1">IFERROR(__xludf.dummyfunction("""COMPUTED_VALUE"""),"Over 65")</f>
        <v>Over 65</v>
      </c>
      <c r="M65" s="6"/>
      <c r="N65" s="6"/>
      <c r="O65" s="6"/>
      <c r="P65" s="6"/>
      <c r="Q65" s="6"/>
      <c r="R65" s="6"/>
      <c r="S65" s="6"/>
      <c r="T65" s="6"/>
      <c r="U65" s="6"/>
      <c r="V65" s="6"/>
      <c r="W65" s="6"/>
      <c r="X65" s="6"/>
      <c r="Y65" s="6"/>
      <c r="Z65" s="6"/>
      <c r="AA65" s="6"/>
      <c r="AB65" s="6"/>
    </row>
    <row r="66" spans="1:28" ht="114">
      <c r="A66" s="6" t="s">
        <v>386</v>
      </c>
      <c r="B66" s="13">
        <f ca="1">IFERROR(__xludf.dummyfunction("""COMPUTED_VALUE"""),46185.7881633796)</f>
        <v>46185.788163379599</v>
      </c>
      <c r="C66" s="6" t="str">
        <f ca="1">IFERROR(__xludf.dummyfunction("""COMPUTED_VALUE"""),"Individual")</f>
        <v>Individual</v>
      </c>
      <c r="D66" s="14">
        <f ca="1">IFERROR(__xludf.dummyfunction("""COMPUTED_VALUE"""),4)</f>
        <v>4</v>
      </c>
      <c r="E66" s="6" t="str">
        <f ca="1">IFERROR(__xludf.dummyfunction("""COMPUTED_VALUE"""),"Loss of biodiversity, Floods and storms, Water shortages, Extreme heat/wildfires, Impacts of climate change on poorer communities elsewhere in the world, Climate migration")</f>
        <v>Loss of biodiversity, Floods and storms, Water shortages, Extreme heat/wildfires, Impacts of climate change on poorer communities elsewhere in the world, Climate migration</v>
      </c>
      <c r="F66" s="6" t="str">
        <f ca="1">IFERROR(__xludf.dummyfunction("""COMPUTED_VALUE"""),"Nature friendly gardening (e.g. planting wildflowers, rewilding, using peat-free compost), Adopted a more climate-friendly diet (e.g. reduced meat consumption, buying local, buying food in season), Reduced my travel, Used lower carbon ways of travelling ("&amp;"e.g. walking, cycling, public transport), Reduced my energy use, Installed insulation, Hired or borrowed items instead of buying, Reused or repaired items, Composted or recycled waste, Reduced water use (e.g. install water butts, shorter showers), Reduced"&amp;" heat risk (e.g. additional planting, shading around my property), Moved my money to sustainable banks or invested in sustainable funds, Talked to friends and family about climate change or actions I've taken")</f>
        <v>Nature friendly gardening (e.g. planting wildflowers, rewilding, using peat-free compost), Adopted a more climate-friendly diet (e.g. reduced meat consumption, buying local, buying food in season), Reduced my travel, Used lower carbon ways of travelling (e.g. walking, cycling, public transport), Reduced my energy use, Installed insulation, Hired or borrowed items instead of buying, Reused or repaired items, Composted or recycled waste, Reduced water use (e.g. install water butts, shorter showers), Reduced heat risk (e.g. additional planting, shading around my property), Moved my money to sustainable banks or invested in sustainable funds, Talked to friends and family about climate change or actions I've taken</v>
      </c>
      <c r="G66" s="6" t="str">
        <f ca="1">IFERROR(__xludf.dummyfunction("""COMPUTED_VALUE"""),"I don't have the time")</f>
        <v>I don't have the time</v>
      </c>
      <c r="H66" s="6" t="str">
        <f ca="1">IFERROR(__xludf.dummyfunction("""COMPUTED_VALUE"""),"Practical tasks or projects")</f>
        <v>Practical tasks or projects</v>
      </c>
      <c r="I66" s="6" t="str">
        <f ca="1">IFERROR(__xludf.dummyfunction("""COMPUTED_VALUE"""),"Work together to build wildlife corridors. Practical measures that can be seen rather than wasting breath on trying to influence those who won’t listen or generates hostility. ")</f>
        <v xml:space="preserve">Work together to build wildlife corridors. Practical measures that can be seen rather than wasting breath on trying to influence those who won’t listen or generates hostility. </v>
      </c>
      <c r="J66" s="6"/>
      <c r="K66" s="6"/>
      <c r="L66" s="14" t="str">
        <f ca="1">IFERROR(__xludf.dummyfunction("""COMPUTED_VALUE"""),"45-54")</f>
        <v>45-54</v>
      </c>
      <c r="M66" s="6"/>
      <c r="N66" s="6"/>
      <c r="O66" s="6"/>
      <c r="P66" s="6"/>
      <c r="Q66" s="6"/>
      <c r="R66" s="6"/>
      <c r="S66" s="6"/>
      <c r="T66" s="6"/>
      <c r="U66" s="6"/>
      <c r="V66" s="6"/>
      <c r="W66" s="6"/>
      <c r="X66" s="6"/>
      <c r="Y66" s="6"/>
      <c r="Z66" s="6"/>
      <c r="AA66" s="6"/>
      <c r="AB66" s="6"/>
    </row>
    <row r="67" spans="1:28" ht="85.5">
      <c r="A67" s="6" t="s">
        <v>386</v>
      </c>
      <c r="B67" s="13">
        <f ca="1">IFERROR(__xludf.dummyfunction("""COMPUTED_VALUE"""),46185.8791628357)</f>
        <v>46185.879162835699</v>
      </c>
      <c r="C67" s="6" t="str">
        <f ca="1">IFERROR(__xludf.dummyfunction("""COMPUTED_VALUE"""),"Individual")</f>
        <v>Individual</v>
      </c>
      <c r="D67" s="14">
        <f ca="1">IFERROR(__xludf.dummyfunction("""COMPUTED_VALUE"""),5)</f>
        <v>5</v>
      </c>
      <c r="E67" s="6" t="str">
        <f ca="1">IFERROR(__xludf.dummyfunction("""COMPUTED_VALUE"""),"The impact on my children and grandchildren, Loss of biodiversity, Floods and storms, Water shortages, Extreme heat/wildfires, Economic/political instability, Impacts of climate change on poorer communities elsewhere in the world")</f>
        <v>The impact on my children and grandchildren, Loss of biodiversity, Floods and storms, Water shortages, Extreme heat/wildfires, Economic/political instability, Impacts of climate change on poorer communities elsewhere in the world</v>
      </c>
      <c r="F67" s="6" t="str">
        <f ca="1">IFERROR(__xludf.dummyfunction("""COMPUTED_VALUE"""),"Nature friendly gardening (e.g. planting wildflowers, rewilding, using peat-free compost), Adopted a more climate-friendly diet (e.g. reduced meat consumption, buying local, buying food in season), Reduced my travel, Invested in an electric/hybrid car, Re"&amp;"duced my energy use, Hired or borrowed items instead of buying, Reused or repaired items, Reduced water use (e.g. install water butts, shorter showers), Taken political action (e.g. written to MP, taken part in campaigns or protests), Joined a climate or "&amp;"environmental group")</f>
        <v>Nature friendly gardening (e.g. planting wildflowers, rewilding, using peat-free compost), Adopted a more climate-friendly diet (e.g. reduced meat consumption, buying local, buying food in season), Reduced my travel, Invested in an electric/hybrid car, Reduced my energy use, Hired or borrowed items instead of buying, Reused or repaired items, Reduced water use (e.g. install water butts, shorter showers), Taken political action (e.g. written to MP, taken part in campaigns or protests), Joined a climate or environmental group</v>
      </c>
      <c r="G67" s="6" t="str">
        <f ca="1">IFERROR(__xludf.dummyfunction("""COMPUTED_VALUE"""),"Be creative and encourage")</f>
        <v>Be creative and encourage</v>
      </c>
      <c r="H67" s="6" t="str">
        <f ca="1">IFERROR(__xludf.dummyfunction("""COMPUTED_VALUE"""),"Information about what I can do (including talks/demonstrations), Opportunities to talk about my feelings about climate change, Sharing my skills and knowledge with others, Setting up locally run projects or campaigns, Attending protests")</f>
        <v>Information about what I can do (including talks/demonstrations), Opportunities to talk about my feelings about climate change, Sharing my skills and knowledge with others, Setting up locally run projects or campaigns, Attending protests</v>
      </c>
      <c r="I67" s="6" t="str">
        <f ca="1">IFERROR(__xludf.dummyfunction("""COMPUTED_VALUE"""),"Numerous things")</f>
        <v>Numerous things</v>
      </c>
      <c r="J67" s="6"/>
      <c r="K67" s="6"/>
      <c r="L67" s="14" t="str">
        <f ca="1">IFERROR(__xludf.dummyfunction("""COMPUTED_VALUE"""),"55-64")</f>
        <v>55-64</v>
      </c>
      <c r="M67" s="6"/>
      <c r="N67" s="6"/>
      <c r="O67" s="6"/>
      <c r="P67" s="6"/>
      <c r="Q67" s="6"/>
      <c r="R67" s="6"/>
      <c r="S67" s="6"/>
      <c r="T67" s="6"/>
      <c r="U67" s="6"/>
      <c r="V67" s="6"/>
      <c r="W67" s="6"/>
      <c r="X67" s="6"/>
      <c r="Y67" s="6"/>
      <c r="Z67" s="6"/>
      <c r="AA67" s="6"/>
      <c r="AB67" s="6"/>
    </row>
    <row r="68" spans="1:28" ht="57">
      <c r="A68" s="6" t="s">
        <v>386</v>
      </c>
      <c r="B68" s="13">
        <f ca="1">IFERROR(__xludf.dummyfunction("""COMPUTED_VALUE"""),46186.3793378704)</f>
        <v>46186.379337870399</v>
      </c>
      <c r="C68" s="6" t="str">
        <f ca="1">IFERROR(__xludf.dummyfunction("""COMPUTED_VALUE"""),"Household")</f>
        <v>Household</v>
      </c>
      <c r="D68" s="14">
        <f ca="1">IFERROR(__xludf.dummyfunction("""COMPUTED_VALUE"""),5)</f>
        <v>5</v>
      </c>
      <c r="E68" s="6" t="str">
        <f ca="1">IFERROR(__xludf.dummyfunction("""COMPUTED_VALUE"""),"The impact on my children and grandchildren, Loss of biodiversity, Floods and storms, Water shortages, Extreme heat/wildfires, Higher bills (higher prices of food, water, energy, etc.), Impacts of climate change on poorer communities elsewhere in the worl"&amp;"d")</f>
        <v>The impact on my children and grandchildren, Loss of biodiversity, Floods and storms, Water shortages, Extreme heat/wildfires, Higher bills (higher prices of food, water, energy, etc.), Impacts of climate change on poorer communities elsewhere in the world</v>
      </c>
      <c r="F68" s="6" t="str">
        <f ca="1">IFERROR(__xludf.dummyfunction("""COMPUTED_VALUE"""),"Nature friendly gardening (e.g. planting wildflowers, rewilding, using peat-free compost), Adopted a more climate-friendly diet (e.g. reduced meat consumption, buying local, buying food in season), Used lower carbon ways of travelling (e.g. walking, cycli"&amp;"ng, public transport), Reused or repaired items, Composted or recycled waste, Reduced water use (e.g. install water butts, shorter showers)")</f>
        <v>Nature friendly gardening (e.g. planting wildflowers, rewilding, using peat-free compost), Adopted a more climate-friendly diet (e.g. reduced meat consumption, buying local, buying food in season), Used lower carbon ways of travelling (e.g. walking, cycling, public transport), Reused or repaired items, Composted or recycled waste, Reduced water use (e.g. install water butts, shorter showers)</v>
      </c>
      <c r="G68" s="6" t="str">
        <f ca="1">IFERROR(__xludf.dummyfunction("""COMPUTED_VALUE"""),"I don't know what I can do, I don't have the time")</f>
        <v>I don't know what I can do, I don't have the time</v>
      </c>
      <c r="H68" s="6" t="str">
        <f ca="1">IFERROR(__xludf.dummyfunction("""COMPUTED_VALUE"""),"Information about what I can do (including talks/demonstrations)")</f>
        <v>Information about what I can do (including talks/demonstrations)</v>
      </c>
      <c r="I68" s="6" t="str">
        <f ca="1">IFERROR(__xludf.dummyfunction("""COMPUTED_VALUE"""),"Better bus routes to Winchester  for those who live on the outskirts of the village which would reduce the car journeys")</f>
        <v>Better bus routes to Winchester  for those who live on the outskirts of the village which would reduce the car journeys</v>
      </c>
      <c r="J68" s="6"/>
      <c r="K68" s="6"/>
      <c r="L68" s="14" t="str">
        <f ca="1">IFERROR(__xludf.dummyfunction("""COMPUTED_VALUE"""),"55-64")</f>
        <v>55-64</v>
      </c>
      <c r="M68" s="6"/>
      <c r="N68" s="6"/>
      <c r="O68" s="6"/>
      <c r="P68" s="6"/>
      <c r="Q68" s="6"/>
      <c r="R68" s="6"/>
      <c r="S68" s="6"/>
      <c r="T68" s="6"/>
      <c r="U68" s="6"/>
      <c r="V68" s="6"/>
      <c r="W68" s="6"/>
      <c r="X68" s="6"/>
      <c r="Y68" s="6"/>
      <c r="Z68" s="6"/>
      <c r="AA68" s="6"/>
      <c r="AB68" s="6"/>
    </row>
    <row r="69" spans="1:28" ht="42.75">
      <c r="A69" s="6" t="s">
        <v>386</v>
      </c>
      <c r="B69" s="13">
        <f ca="1">IFERROR(__xludf.dummyfunction("""COMPUTED_VALUE"""),46187.7102026042)</f>
        <v>46187.710202604198</v>
      </c>
      <c r="C69" s="6" t="str">
        <f ca="1">IFERROR(__xludf.dummyfunction("""COMPUTED_VALUE"""),"Individual")</f>
        <v>Individual</v>
      </c>
      <c r="D69" s="14">
        <f ca="1">IFERROR(__xludf.dummyfunction("""COMPUTED_VALUE"""),5)</f>
        <v>5</v>
      </c>
      <c r="E69" s="6" t="str">
        <f ca="1">IFERROR(__xludf.dummyfunction("""COMPUTED_VALUE"""),"Economic/political instability")</f>
        <v>Economic/political instability</v>
      </c>
      <c r="F69" s="6" t="str">
        <f ca="1">IFERROR(__xludf.dummyfunction("""COMPUTED_VALUE"""),"Reduced my travel, Used lower carbon ways of travelling (e.g. walking, cycling, public transport), Reduced my energy use, Installed insulation, Reused or repaired items")</f>
        <v>Reduced my travel, Used lower carbon ways of travelling (e.g. walking, cycling, public transport), Reduced my energy use, Installed insulation, Reused or repaired items</v>
      </c>
      <c r="G69" s="6" t="str">
        <f ca="1">IFERROR(__xludf.dummyfunction("""COMPUTED_VALUE"""),"Planning restrictions on solar")</f>
        <v>Planning restrictions on solar</v>
      </c>
      <c r="H69" s="6" t="str">
        <f ca="1">IFERROR(__xludf.dummyfunction("""COMPUTED_VALUE"""),"None of the above")</f>
        <v>None of the above</v>
      </c>
      <c r="I69" s="6" t="str">
        <f ca="1">IFERROR(__xludf.dummyfunction("""COMPUTED_VALUE"""),"Allowing solar panels on roofs in conservation areas")</f>
        <v>Allowing solar panels on roofs in conservation areas</v>
      </c>
      <c r="J69" s="6" t="str">
        <f ca="1">IFERROR(__xludf.dummyfunction("""COMPUTED_VALUE"""),"Twyford Conservation  Community - TCC")</f>
        <v>Twyford Conservation  Community - TCC</v>
      </c>
      <c r="K69" s="6" t="str">
        <f ca="1">IFERROR(__xludf.dummyfunction("""COMPUTED_VALUE"""),"No")</f>
        <v>No</v>
      </c>
      <c r="L69" s="14" t="str">
        <f ca="1">IFERROR(__xludf.dummyfunction("""COMPUTED_VALUE"""),"55-64")</f>
        <v>55-64</v>
      </c>
      <c r="M69" s="6"/>
      <c r="N69" s="6"/>
      <c r="O69" s="6"/>
      <c r="P69" s="6"/>
      <c r="Q69" s="6"/>
      <c r="R69" s="6"/>
      <c r="S69" s="6"/>
      <c r="T69" s="6"/>
      <c r="U69" s="6"/>
      <c r="V69" s="6"/>
      <c r="W69" s="6"/>
      <c r="X69" s="6"/>
      <c r="Y69" s="6"/>
      <c r="Z69" s="6"/>
      <c r="AA69" s="6"/>
      <c r="AB69" s="6"/>
    </row>
    <row r="70" spans="1:28" ht="14.25">
      <c r="A70" s="13"/>
      <c r="B70" s="13"/>
      <c r="C70" s="6"/>
      <c r="D70" s="14"/>
      <c r="E70" s="6"/>
      <c r="F70" s="6"/>
      <c r="G70" s="6"/>
      <c r="H70" s="6"/>
      <c r="I70" s="6"/>
      <c r="J70" s="6"/>
      <c r="K70" s="6"/>
      <c r="L70" s="14"/>
      <c r="M70" s="6"/>
      <c r="N70" s="6"/>
      <c r="O70" s="6"/>
      <c r="P70" s="6"/>
      <c r="Q70" s="6"/>
      <c r="R70" s="6"/>
      <c r="S70" s="6"/>
      <c r="T70" s="6"/>
      <c r="U70" s="6"/>
      <c r="V70" s="6"/>
      <c r="W70" s="6"/>
      <c r="X70" s="6"/>
      <c r="Y70" s="6"/>
      <c r="Z70" s="6"/>
      <c r="AA70" s="6"/>
      <c r="AB70" s="6"/>
    </row>
    <row r="71" spans="1:28" ht="14.25">
      <c r="A71" s="13"/>
      <c r="B71" s="13"/>
      <c r="C71" s="6"/>
      <c r="D71" s="14"/>
      <c r="E71" s="6"/>
      <c r="F71" s="6"/>
      <c r="G71" s="6"/>
      <c r="H71" s="6"/>
      <c r="I71" s="6"/>
      <c r="J71" s="6"/>
      <c r="K71" s="6"/>
      <c r="L71" s="14"/>
      <c r="M71" s="6"/>
      <c r="N71" s="6"/>
      <c r="O71" s="6"/>
      <c r="P71" s="6"/>
      <c r="Q71" s="6"/>
      <c r="R71" s="6"/>
      <c r="S71" s="6"/>
      <c r="T71" s="6"/>
      <c r="U71" s="6"/>
      <c r="V71" s="6"/>
      <c r="W71" s="6"/>
      <c r="X71" s="6"/>
      <c r="Y71" s="6"/>
      <c r="Z71" s="6"/>
      <c r="AA71" s="6"/>
      <c r="AB71" s="6"/>
    </row>
    <row r="72" spans="1:28" ht="14.25">
      <c r="A72" s="13"/>
      <c r="B72" s="13"/>
      <c r="C72" s="6"/>
      <c r="D72" s="14"/>
      <c r="E72" s="6"/>
      <c r="F72" s="6"/>
      <c r="G72" s="6"/>
      <c r="H72" s="6"/>
      <c r="I72" s="6"/>
      <c r="J72" s="6"/>
      <c r="K72" s="6"/>
      <c r="L72" s="14"/>
      <c r="M72" s="6"/>
      <c r="N72" s="6"/>
      <c r="O72" s="6"/>
      <c r="P72" s="6"/>
      <c r="Q72" s="6"/>
      <c r="R72" s="6"/>
      <c r="S72" s="6"/>
      <c r="T72" s="6"/>
      <c r="U72" s="6"/>
      <c r="V72" s="6"/>
      <c r="W72" s="6"/>
      <c r="X72" s="6"/>
      <c r="Y72" s="6"/>
      <c r="Z72" s="6"/>
      <c r="AA72" s="6"/>
      <c r="AB72" s="6"/>
    </row>
    <row r="73" spans="1:28" ht="14.25">
      <c r="A73" s="13"/>
      <c r="B73" s="13"/>
      <c r="C73" s="6"/>
      <c r="D73" s="14"/>
      <c r="E73" s="6"/>
      <c r="F73" s="6"/>
      <c r="G73" s="6"/>
      <c r="H73" s="6"/>
      <c r="I73" s="6"/>
      <c r="J73" s="6"/>
      <c r="K73" s="6"/>
      <c r="L73" s="14"/>
      <c r="M73" s="6"/>
      <c r="N73" s="6"/>
      <c r="O73" s="6"/>
      <c r="P73" s="6"/>
      <c r="Q73" s="6"/>
      <c r="R73" s="6"/>
      <c r="S73" s="6"/>
      <c r="T73" s="6"/>
      <c r="U73" s="6"/>
      <c r="V73" s="6"/>
      <c r="W73" s="6"/>
      <c r="X73" s="6"/>
      <c r="Y73" s="6"/>
      <c r="Z73" s="6"/>
      <c r="AA73" s="6"/>
      <c r="AB73" s="6"/>
    </row>
    <row r="74" spans="1:28" ht="14.25">
      <c r="A74" s="13"/>
      <c r="B74" s="13"/>
      <c r="C74" s="6"/>
      <c r="D74" s="14"/>
      <c r="E74" s="6"/>
      <c r="F74" s="6"/>
      <c r="G74" s="6"/>
      <c r="H74" s="6"/>
      <c r="I74" s="6"/>
      <c r="J74" s="6"/>
      <c r="K74" s="6"/>
      <c r="L74" s="14"/>
      <c r="M74" s="6"/>
      <c r="N74" s="6"/>
      <c r="O74" s="6"/>
      <c r="P74" s="6"/>
      <c r="Q74" s="6"/>
      <c r="R74" s="6"/>
      <c r="S74" s="6"/>
      <c r="T74" s="6"/>
      <c r="U74" s="6"/>
      <c r="V74" s="6"/>
      <c r="W74" s="6"/>
      <c r="X74" s="6"/>
      <c r="Y74" s="6"/>
      <c r="Z74" s="6"/>
      <c r="AA74" s="6"/>
      <c r="AB74" s="6"/>
    </row>
    <row r="75" spans="1:28" ht="14.25">
      <c r="A75" s="13"/>
      <c r="B75" s="13"/>
      <c r="C75" s="6"/>
      <c r="D75" s="14"/>
      <c r="E75" s="6"/>
      <c r="F75" s="6"/>
      <c r="G75" s="6"/>
      <c r="H75" s="6"/>
      <c r="I75" s="6"/>
      <c r="J75" s="6"/>
      <c r="K75" s="6"/>
      <c r="L75" s="14"/>
      <c r="M75" s="6"/>
      <c r="N75" s="6"/>
      <c r="O75" s="6"/>
      <c r="P75" s="6"/>
      <c r="Q75" s="6"/>
      <c r="R75" s="6"/>
      <c r="S75" s="6"/>
      <c r="T75" s="6"/>
      <c r="U75" s="6"/>
      <c r="V75" s="6"/>
      <c r="W75" s="6"/>
      <c r="X75" s="6"/>
      <c r="Y75" s="6"/>
      <c r="Z75" s="6"/>
      <c r="AA75" s="6"/>
      <c r="AB75" s="6"/>
    </row>
    <row r="76" spans="1:28" ht="14.25">
      <c r="A76" s="13"/>
      <c r="B76" s="13"/>
      <c r="C76" s="6"/>
      <c r="D76" s="14"/>
      <c r="E76" s="6"/>
      <c r="F76" s="6"/>
      <c r="G76" s="6"/>
      <c r="H76" s="6"/>
      <c r="I76" s="6"/>
      <c r="J76" s="6"/>
      <c r="K76" s="6"/>
      <c r="L76" s="14"/>
      <c r="M76" s="6"/>
      <c r="N76" s="6"/>
      <c r="O76" s="6"/>
      <c r="P76" s="6"/>
      <c r="Q76" s="6"/>
      <c r="R76" s="6"/>
      <c r="S76" s="6"/>
      <c r="T76" s="6"/>
      <c r="U76" s="6"/>
      <c r="V76" s="6"/>
      <c r="W76" s="6"/>
      <c r="X76" s="6"/>
      <c r="Y76" s="6"/>
      <c r="Z76" s="6"/>
      <c r="AA76" s="6"/>
      <c r="AB76" s="6"/>
    </row>
    <row r="77" spans="1:28" ht="42.75">
      <c r="A77" s="6" t="s">
        <v>387</v>
      </c>
      <c r="B77" s="13"/>
      <c r="C77" s="6" t="str">
        <f ca="1">IFERROR(__xludf.dummyfunction("QUERY('Paper Form Responses 1'!A:Z, ""SELECT * WHERE A IS NOT NULL"")"),"Individual")</f>
        <v>Individual</v>
      </c>
      <c r="D77" s="14">
        <f ca="1">IFERROR(__xludf.dummyfunction("""COMPUTED_VALUE"""),4)</f>
        <v>4</v>
      </c>
      <c r="E77" s="6" t="str">
        <f ca="1">IFERROR(__xludf.dummyfunction("""COMPUTED_VALUE"""),"The impact on my children and grandchildren, Floods and storms, Water shortages")</f>
        <v>The impact on my children and grandchildren, Floods and storms, Water shortages</v>
      </c>
      <c r="F77" s="6" t="str">
        <f ca="1">IFERROR(__xludf.dummyfunction("""COMPUTED_VALUE"""),"Nature friendly gardening, Adopted a more climate-friendly diet, Reduced my travel, Reused or repaired items, Composted or recycled waste, Reduced water use, Talked to friends and family about climate change or actions I've taken")</f>
        <v>Nature friendly gardening, Adopted a more climate-friendly diet, Reduced my travel, Reused or repaired items, Composted or recycled waste, Reduced water use, Talked to friends and family about climate change or actions I've taken</v>
      </c>
      <c r="G77" s="6" t="str">
        <f ca="1">IFERROR(__xludf.dummyfunction("""COMPUTED_VALUE"""),"I believe it's up to those in power to lead, I've done as much as I can")</f>
        <v>I believe it's up to those in power to lead, I've done as much as I can</v>
      </c>
      <c r="H77" s="6" t="str">
        <f ca="1">IFERROR(__xludf.dummyfunction("""COMPUTED_VALUE"""),"None of the above")</f>
        <v>None of the above</v>
      </c>
      <c r="I77" s="6"/>
      <c r="J77" s="6"/>
      <c r="K77" s="6"/>
      <c r="L77" s="14" t="str">
        <f ca="1">IFERROR(__xludf.dummyfunction("""COMPUTED_VALUE"""),"Over 65")</f>
        <v>Over 65</v>
      </c>
      <c r="M77" s="6"/>
      <c r="N77" s="6"/>
      <c r="O77" s="6"/>
      <c r="P77" s="6"/>
      <c r="Q77" s="6"/>
      <c r="R77" s="6"/>
      <c r="S77" s="6"/>
      <c r="T77" s="6"/>
      <c r="U77" s="6"/>
      <c r="V77" s="6"/>
      <c r="W77" s="6"/>
      <c r="X77" s="6"/>
      <c r="Y77" s="6"/>
      <c r="Z77" s="6"/>
      <c r="AA77" s="6"/>
      <c r="AB77" s="6"/>
    </row>
    <row r="78" spans="1:28" ht="28.5">
      <c r="A78" s="6" t="s">
        <v>387</v>
      </c>
      <c r="B78" s="13"/>
      <c r="C78" s="6" t="str">
        <f ca="1">IFERROR(__xludf.dummyfunction("""COMPUTED_VALUE"""),"Household")</f>
        <v>Household</v>
      </c>
      <c r="D78" s="14">
        <f ca="1">IFERROR(__xludf.dummyfunction("""COMPUTED_VALUE"""),5)</f>
        <v>5</v>
      </c>
      <c r="E78" s="6" t="str">
        <f ca="1">IFERROR(__xludf.dummyfunction("""COMPUTED_VALUE"""),"The impact on my children and grandchildren, Floods and storms, Water shortages")</f>
        <v>The impact on my children and grandchildren, Floods and storms, Water shortages</v>
      </c>
      <c r="F78" s="6" t="str">
        <f ca="1">IFERROR(__xludf.dummyfunction("""COMPUTED_VALUE"""),"Nature friendly gardening, Reduced my energy use, Installed insulation, Installed a greener heating system, Composted or recycled waste, Reduced water use, Reduced heat risk")</f>
        <v>Nature friendly gardening, Reduced my energy use, Installed insulation, Installed a greener heating system, Composted or recycled waste, Reduced water use, Reduced heat risk</v>
      </c>
      <c r="G78" s="6" t="str">
        <f ca="1">IFERROR(__xludf.dummyfunction("""COMPUTED_VALUE"""),"I don't believe I can have an impact, I believe it's up to those in power to lead, Energy &amp; does it work")</f>
        <v>I don't believe I can have an impact, I believe it's up to those in power to lead, Energy &amp; does it work</v>
      </c>
      <c r="H78" s="6" t="str">
        <f ca="1">IFERROR(__xludf.dummyfunction("""COMPUTED_VALUE"""),"None of the above")</f>
        <v>None of the above</v>
      </c>
      <c r="I78" s="6" t="str">
        <f ca="1">IFERROR(__xludf.dummyfunction("""COMPUTED_VALUE"""),"?")</f>
        <v>?</v>
      </c>
      <c r="J78" s="6"/>
      <c r="K78" s="6"/>
      <c r="L78" s="14" t="str">
        <f ca="1">IFERROR(__xludf.dummyfunction("""COMPUTED_VALUE"""),"Over 65")</f>
        <v>Over 65</v>
      </c>
      <c r="M78" s="6"/>
      <c r="N78" s="6"/>
      <c r="O78" s="6"/>
      <c r="P78" s="6"/>
      <c r="Q78" s="6"/>
      <c r="R78" s="6"/>
      <c r="S78" s="6"/>
      <c r="T78" s="6"/>
      <c r="U78" s="6"/>
      <c r="V78" s="6"/>
      <c r="W78" s="6"/>
      <c r="X78" s="6"/>
      <c r="Y78" s="6"/>
      <c r="Z78" s="6"/>
      <c r="AA78" s="6"/>
      <c r="AB78" s="6"/>
    </row>
    <row r="79" spans="1:28" ht="57">
      <c r="A79" s="6" t="s">
        <v>387</v>
      </c>
      <c r="B79" s="13"/>
      <c r="C79" s="6" t="str">
        <f ca="1">IFERROR(__xludf.dummyfunction("""COMPUTED_VALUE"""),"Household")</f>
        <v>Household</v>
      </c>
      <c r="D79" s="14">
        <f ca="1">IFERROR(__xludf.dummyfunction("""COMPUTED_VALUE"""),4)</f>
        <v>4</v>
      </c>
      <c r="E79" s="6" t="str">
        <f ca="1">IFERROR(__xludf.dummyfunction("""COMPUTED_VALUE"""),"The impact on my children and grandchildren, Floods and storms, Water shortages, Economic/political instability, Impacts of climate change on poorer communities elsewhere in the world")</f>
        <v>The impact on my children and grandchildren, Floods and storms, Water shortages, Economic/political instability, Impacts of climate change on poorer communities elsewhere in the world</v>
      </c>
      <c r="F79" s="6" t="str">
        <f ca="1">IFERROR(__xludf.dummyfunction("""COMPUTED_VALUE"""),"Nature friendly gardening, adopted a more climate-friendly diet, Reduced my travel, Reduced my energy use, Installed insulation, Hired or borrowed items instead of buying, Reused or repaired items, Composted or recycled waste, Reduced water use, Talked to"&amp;" my friends and family about climate change or actions I've taken")</f>
        <v>Nature friendly gardening, adopted a more climate-friendly diet, Reduced my travel, Reduced my energy use, Installed insulation, Hired or borrowed items instead of buying, Reused or repaired items, Composted or recycled waste, Reduced water use, Talked to my friends and family about climate change or actions I've taken</v>
      </c>
      <c r="G79" s="6" t="str">
        <f ca="1">IFERROR(__xludf.dummyfunction("""COMPUTED_VALUE"""),"I don't have the time, I believe it's up to those in power to lead")</f>
        <v>I don't have the time, I believe it's up to those in power to lead</v>
      </c>
      <c r="H79" s="6" t="str">
        <f ca="1">IFERROR(__xludf.dummyfunction("""COMPUTED_VALUE"""),"Information about what I can do (including talks/demonstrations), Attending protests")</f>
        <v>Information about what I can do (including talks/demonstrations), Attending protests</v>
      </c>
      <c r="I79" s="6"/>
      <c r="J79" s="6"/>
      <c r="K79" s="6"/>
      <c r="L79" s="14" t="str">
        <f ca="1">IFERROR(__xludf.dummyfunction("""COMPUTED_VALUE"""),"Over 65")</f>
        <v>Over 65</v>
      </c>
      <c r="M79" s="6"/>
      <c r="N79" s="6"/>
      <c r="O79" s="6"/>
      <c r="P79" s="6"/>
      <c r="Q79" s="6"/>
      <c r="R79" s="6"/>
      <c r="S79" s="6"/>
      <c r="T79" s="6"/>
      <c r="U79" s="6"/>
      <c r="V79" s="6"/>
      <c r="W79" s="6"/>
      <c r="X79" s="6"/>
      <c r="Y79" s="6"/>
      <c r="Z79" s="6"/>
      <c r="AA79" s="6"/>
      <c r="AB79" s="6"/>
    </row>
    <row r="80" spans="1:28" ht="99.75">
      <c r="A80" s="6" t="s">
        <v>387</v>
      </c>
      <c r="B80" s="13"/>
      <c r="C80" s="6" t="str">
        <f ca="1">IFERROR(__xludf.dummyfunction("""COMPUTED_VALUE"""),"Individual")</f>
        <v>Individual</v>
      </c>
      <c r="D80" s="14">
        <f ca="1">IFERROR(__xludf.dummyfunction("""COMPUTED_VALUE"""),4)</f>
        <v>4</v>
      </c>
      <c r="E80" s="6" t="str">
        <f ca="1">IFERROR(__xludf.dummyfunction("""COMPUTED_VALUE"""),"The impact on my children and grandchildren, Loss of biodiversity, Floods and storms, Water shortages, Extreme heat/wildfires, Higher bills, Economic/political instability, Impacts of climate change on poorer communities elsewhere in the world, Climate mi"&amp;"gration")</f>
        <v>The impact on my children and grandchildren, Loss of biodiversity, Floods and storms, Water shortages, Extreme heat/wildfires, Higher bills, Economic/political instability, Impacts of climate change on poorer communities elsewhere in the world, Climate migration</v>
      </c>
      <c r="F80" s="6" t="str">
        <f ca="1">IFERROR(__xludf.dummyfunction("""COMPUTED_VALUE"""),"Nature friendly gardening, Reduced my travel, Reused or repaired items, Composted or recycled waste, Reduced water use, Moved my money to sustainable banks or invested in sustainable funds, Talked to friends and family about climate change")</f>
        <v>Nature friendly gardening, Reduced my travel, Reused or repaired items, Composted or recycled waste, Reduced water use, Moved my money to sustainable banks or invested in sustainable funds, Talked to friends and family about climate change</v>
      </c>
      <c r="G80" s="6" t="str">
        <f ca="1">IFERROR(__xludf.dummyfunction("""COMPUTED_VALUE"""),"I believe it's up to those in power to lead")</f>
        <v>I believe it's up to those in power to lead</v>
      </c>
      <c r="H80" s="6" t="str">
        <f ca="1">IFERROR(__xludf.dummyfunction("""COMPUTED_VALUE"""),"Information about what I can do, Practical tasks or projects, Sharing my skills and knowledge with others")</f>
        <v>Information about what I can do, Practical tasks or projects, Sharing my skills and knowledge with others</v>
      </c>
      <c r="I80" s="6" t="str">
        <f ca="1">IFERROR(__xludf.dummyfunction("""COMPUTED_VALUE"""),"We have two schools in the village where many children are driven to
The worst offender is Twyford Prep. The sight of dozens of 4x4 vehicles is nausiating. The PC could ask the school if they have a green initiative to reduce vehicle numbers. Do they have"&amp;" a plan to introduce solar panels, such a policy should be on their web site.
The primary school does have green initiatives, could they be helped more re transport?")</f>
        <v>We have two schools in the village where many children are driven to
The worst offender is Twyford Prep. The sight of dozens of 4x4 vehicles is nausiating. The PC could ask the school if they have a green initiative to reduce vehicle numbers. Do they have a plan to introduce solar panels, such a policy should be on their web site.
The primary school does have green initiatives, could they be helped more re transport?</v>
      </c>
      <c r="J80" s="6"/>
      <c r="K80" s="6"/>
      <c r="L80" s="14" t="str">
        <f ca="1">IFERROR(__xludf.dummyfunction("""COMPUTED_VALUE"""),"Over 65")</f>
        <v>Over 65</v>
      </c>
      <c r="M80" s="6"/>
      <c r="N80" s="6"/>
      <c r="O80" s="6"/>
      <c r="P80" s="6"/>
      <c r="Q80" s="6"/>
      <c r="R80" s="6"/>
      <c r="S80" s="6"/>
      <c r="T80" s="6"/>
      <c r="U80" s="6"/>
      <c r="V80" s="6"/>
      <c r="W80" s="6"/>
      <c r="X80" s="6"/>
      <c r="Y80" s="6"/>
      <c r="Z80" s="6"/>
      <c r="AA80" s="6"/>
      <c r="AB80" s="6"/>
    </row>
    <row r="81" spans="1:28" ht="242.25">
      <c r="A81" s="6" t="s">
        <v>387</v>
      </c>
      <c r="B81" s="13"/>
      <c r="C81" s="6" t="str">
        <f ca="1">IFERROR(__xludf.dummyfunction("""COMPUTED_VALUE"""),"Individual")</f>
        <v>Individual</v>
      </c>
      <c r="D81" s="14">
        <f ca="1">IFERROR(__xludf.dummyfunction("""COMPUTED_VALUE"""),5)</f>
        <v>5</v>
      </c>
      <c r="E81" s="6" t="str">
        <f ca="1">IFERROR(__xludf.dummyfunction("""COMPUTED_VALUE"""),"The impact on my children and grandchildren, Loss of biodiversity, Floods and storms, Water shortages, Extreme heat/wildfires")</f>
        <v>The impact on my children and grandchildren, Loss of biodiversity, Floods and storms, Water shortages, Extreme heat/wildfires</v>
      </c>
      <c r="F81" s="6" t="str">
        <f ca="1">IFERROR(__xludf.dummyfunction("""COMPUTED_VALUE"""),"Nature friendly gardening, Adopted a more climate-friendly diet, Reduced my travel, Reduced my energy use, Installed insulation, Reused or repaired items, Composted or recycled waste, Reduced water use, Reduced heat risk, Taken political action, Joined a "&amp;"climate or environmental group, Talked to friends and family about climate change or the actions I've taken")</f>
        <v>Nature friendly gardening, Adopted a more climate-friendly diet, Reduced my travel, Reduced my energy use, Installed insulation, Reused or repaired items, Composted or recycled waste, Reduced water use, Reduced heat risk, Taken political action, Joined a climate or environmental group, Talked to friends and family about climate change or the actions I've taken</v>
      </c>
      <c r="G81" s="6" t="str">
        <f ca="1">IFERROR(__xludf.dummyfunction("""COMPUTED_VALUE"""),"I feel stuck")</f>
        <v>I feel stuck</v>
      </c>
      <c r="H81" s="6" t="str">
        <f ca="1">IFERROR(__xludf.dummyfunction("""COMPUTED_VALUE"""),"Information about what I can do, Joining others with similar interest so we can create action together, Opportunities to talk about my feelings about climate change, Practical tasks or projects, Attending protests")</f>
        <v>Information about what I can do, Joining others with similar interest so we can create action together, Opportunities to talk about my feelings about climate change, Practical tasks or projects, Attending protests</v>
      </c>
      <c r="I81" s="6" t="str">
        <f ca="1">IFERROR(__xludf.dummyfunction("""COMPUTED_VALUE"""),"Reuse plastic bottles &amp; refill at village shop
Use the bus for travel into Winchester or Southampton. (&amp; Eastleigh???)
Educate our schoolchildren on environmental issues alongside clubs and uniformed organizations")</f>
        <v>Reuse plastic bottles &amp; refill at village shop
Use the bus for travel into Winchester or Southampton. (&amp; Eastleigh???)
Educate our schoolchildren on environmental issues alongside clubs and uniformed organizations</v>
      </c>
      <c r="J81" s="6" t="str">
        <f ca="1">IFERROR(__xludf.dummyfunction("""COMPUTED_VALUE"""),"Twyford Action Group (TAG)")</f>
        <v>Twyford Action Group (TAG)</v>
      </c>
      <c r="K81" s="6" t="str">
        <f ca="1">IFERROR(__xludf.dummyfunction("""COMPUTED_VALUE"""),"Am a member of Winchester Action on Climate Crisis.
They have really good ideas and are very active. Could approach them for advice &amp; look at their website for ideas.
Action on Carbon in Twyford produced a leaflet on what we can do to reduce Twyfords hous"&amp;"ehold carbon footprint. See att. copy. [PAPER COPY PROVIDED]
Local villages have been advertising days when everyone has a clear out of good items no longer needed - put out in front of house and have a ""Free For All"" day")</f>
        <v>Am a member of Winchester Action on Climate Crisis.
They have really good ideas and are very active. Could approach them for advice &amp; look at their website for ideas.
Action on Carbon in Twyford produced a leaflet on what we can do to reduce Twyfords household carbon footprint. See att. copy. [PAPER COPY PROVIDED]
Local villages have been advertising days when everyone has a clear out of good items no longer needed - put out in front of house and have a "Free For All" day</v>
      </c>
      <c r="L81" s="14" t="str">
        <f ca="1">IFERROR(__xludf.dummyfunction("""COMPUTED_VALUE"""),"Over 65")</f>
        <v>Over 65</v>
      </c>
      <c r="M81" s="15" t="s">
        <v>388</v>
      </c>
      <c r="N81" s="6"/>
      <c r="O81" s="6"/>
      <c r="P81" s="6"/>
      <c r="Q81" s="6"/>
      <c r="R81" s="6"/>
      <c r="S81" s="6"/>
      <c r="T81" s="6"/>
      <c r="U81" s="6"/>
      <c r="V81" s="6"/>
      <c r="W81" s="6"/>
      <c r="X81" s="6"/>
      <c r="Y81" s="6"/>
      <c r="Z81" s="6"/>
      <c r="AA81" s="6"/>
      <c r="AB81" s="6"/>
    </row>
    <row r="82" spans="1:28" ht="28.5">
      <c r="A82" s="6" t="s">
        <v>387</v>
      </c>
      <c r="B82" s="13"/>
      <c r="C82" s="6" t="str">
        <f ca="1">IFERROR(__xludf.dummyfunction("""COMPUTED_VALUE"""),"Individual")</f>
        <v>Individual</v>
      </c>
      <c r="D82" s="14">
        <f ca="1">IFERROR(__xludf.dummyfunction("""COMPUTED_VALUE"""),5)</f>
        <v>5</v>
      </c>
      <c r="E82" s="6" t="str">
        <f ca="1">IFERROR(__xludf.dummyfunction("""COMPUTED_VALUE"""),"The impact on my children and grandchildren, Loss of biodiversity, Floods and storms, Water shortages, Extreme heat/wildfires, Higher bills")</f>
        <v>The impact on my children and grandchildren, Loss of biodiversity, Floods and storms, Water shortages, Extreme heat/wildfires, Higher bills</v>
      </c>
      <c r="F82" s="6" t="str">
        <f ca="1">IFERROR(__xludf.dummyfunction("""COMPUTED_VALUE"""),"Nature friendly gardening, Used lower carbon ways of travelling, Installed insulation, Hired or borrowed items instead of buying, Reused or repaired items, Composted or recycled waste")</f>
        <v>Nature friendly gardening, Used lower carbon ways of travelling, Installed insulation, Hired or borrowed items instead of buying, Reused or repaired items, Composted or recycled waste</v>
      </c>
      <c r="G82" s="6" t="str">
        <f ca="1">IFERROR(__xludf.dummyfunction("""COMPUTED_VALUE"""),"I don't have the money")</f>
        <v>I don't have the money</v>
      </c>
      <c r="H82" s="6" t="str">
        <f ca="1">IFERROR(__xludf.dummyfunction("""COMPUTED_VALUE"""),"Practical tasks or projects")</f>
        <v>Practical tasks or projects</v>
      </c>
      <c r="I82" s="6"/>
      <c r="J82" s="6"/>
      <c r="K82" s="6"/>
      <c r="L82" s="14" t="str">
        <f ca="1">IFERROR(__xludf.dummyfunction("""COMPUTED_VALUE"""),"55-64")</f>
        <v>55-64</v>
      </c>
      <c r="M82" s="6"/>
      <c r="N82" s="6"/>
      <c r="O82" s="6"/>
      <c r="P82" s="6"/>
      <c r="Q82" s="6"/>
      <c r="R82" s="6"/>
      <c r="S82" s="6"/>
      <c r="T82" s="6"/>
      <c r="U82" s="6"/>
      <c r="V82" s="6"/>
      <c r="W82" s="6"/>
      <c r="X82" s="6"/>
      <c r="Y82" s="6"/>
      <c r="Z82" s="6"/>
      <c r="AA82" s="6"/>
      <c r="AB82" s="6"/>
    </row>
    <row r="83" spans="1:28" ht="57">
      <c r="A83" s="6" t="s">
        <v>387</v>
      </c>
      <c r="B83" s="13"/>
      <c r="C83" s="6" t="str">
        <f ca="1">IFERROR(__xludf.dummyfunction("""COMPUTED_VALUE"""),"Household")</f>
        <v>Household</v>
      </c>
      <c r="D83" s="14">
        <f ca="1">IFERROR(__xludf.dummyfunction("""COMPUTED_VALUE"""),5)</f>
        <v>5</v>
      </c>
      <c r="E83" s="6" t="str">
        <f ca="1">IFERROR(__xludf.dummyfunction("""COMPUTED_VALUE"""),"The impact on my children and grandchildren, Loss of biodiversity, Floods and storms, Water shortages, Extreme heat/wildfires, Higher bills, Economic/political instability, Impacts of climate change on poorer communities elsewhere in the world, Climate mi"&amp;"gration")</f>
        <v>The impact on my children and grandchildren, Loss of biodiversity, Floods and storms, Water shortages, Extreme heat/wildfires, Higher bills, Economic/political instability, Impacts of climate change on poorer communities elsewhere in the world, Climate migration</v>
      </c>
      <c r="F83" s="6" t="str">
        <f ca="1">IFERROR(__xludf.dummyfunction("""COMPUTED_VALUE"""),"Nature friendly gardening, Adopted a more climate-friendly diet, Reduced my travel, Used lower carbon ways of travelling, Reduced my energy use, Installed insulation, Reused or repaired items, Composted or recycled waste, Reduced water use, Taken politica"&amp;"l action, Joined a climate or environmental group, Talked to friends and family about climate change")</f>
        <v>Nature friendly gardening, Adopted a more climate-friendly diet, Reduced my travel, Used lower carbon ways of travelling, Reduced my energy use, Installed insulation, Reused or repaired items, Composted or recycled waste, Reduced water use, Taken political action, Joined a climate or environmental group, Talked to friends and family about climate change</v>
      </c>
      <c r="G83" s="6" t="str">
        <f ca="1">IFERROR(__xludf.dummyfunction("""COMPUTED_VALUE"""),"I don't know what I can do")</f>
        <v>I don't know what I can do</v>
      </c>
      <c r="H83" s="6" t="str">
        <f ca="1">IFERROR(__xludf.dummyfunction("""COMPUTED_VALUE"""),"Practical tasks or projects")</f>
        <v>Practical tasks or projects</v>
      </c>
      <c r="I83" s="6" t="str">
        <f ca="1">IFERROR(__xludf.dummyfunction("""COMPUTED_VALUE"""),"As an affluent area I could imagine reducing food waste might have the biggest impact")</f>
        <v>As an affluent area I could imagine reducing food waste might have the biggest impact</v>
      </c>
      <c r="J83" s="6" t="str">
        <f ca="1">IFERROR(__xludf.dummyfunction("""COMPUTED_VALUE"""),"The Future of Twyford")</f>
        <v>The Future of Twyford</v>
      </c>
      <c r="K83" s="6"/>
      <c r="L83" s="14" t="str">
        <f ca="1">IFERROR(__xludf.dummyfunction("""COMPUTED_VALUE"""),"45-54")</f>
        <v>45-54</v>
      </c>
      <c r="M83" s="6"/>
      <c r="N83" s="6"/>
      <c r="O83" s="6"/>
      <c r="P83" s="6"/>
      <c r="Q83" s="6"/>
      <c r="R83" s="6"/>
      <c r="S83" s="6"/>
      <c r="T83" s="6"/>
      <c r="U83" s="6"/>
      <c r="V83" s="6"/>
      <c r="W83" s="6"/>
      <c r="X83" s="6"/>
      <c r="Y83" s="6"/>
      <c r="Z83" s="6"/>
      <c r="AA83" s="6"/>
      <c r="AB83" s="6"/>
    </row>
    <row r="84" spans="1:28" ht="71.25">
      <c r="A84" s="6" t="s">
        <v>387</v>
      </c>
      <c r="B84" s="13"/>
      <c r="C84" s="6" t="str">
        <f ca="1">IFERROR(__xludf.dummyfunction("""COMPUTED_VALUE"""),"Individual")</f>
        <v>Individual</v>
      </c>
      <c r="D84" s="14">
        <f ca="1">IFERROR(__xludf.dummyfunction("""COMPUTED_VALUE"""),4)</f>
        <v>4</v>
      </c>
      <c r="E84" s="6" t="str">
        <f ca="1">IFERROR(__xludf.dummyfunction("""COMPUTED_VALUE"""),"The impact on my children and grandchildren, Loss of biodiversity, Floods and storms, Water shortages, Extreme heat/wildfires, Economic/political instability, Impacts of climate change on poorer communities elsewhere in the world, Climate migration")</f>
        <v>The impact on my children and grandchildren, Loss of biodiversity, Floods and storms, Water shortages, Extreme heat/wildfires, Economic/political instability, Impacts of climate change on poorer communities elsewhere in the world, Climate migration</v>
      </c>
      <c r="F84" s="6" t="str">
        <f ca="1">IFERROR(__xludf.dummyfunction("""COMPUTED_VALUE"""),"Nature friendly gardening, Adopted a more climate-friendly diet, Reduced my travel, Used lower carbon ways of travelling, Reduced my energy use, Installed insulation, Reused or repaired items, Composted or recycled waste, Reduced water use, Reduced heat r"&amp;"isk, Taken political action, Joined a climate or environmental group, Talked to friends and family about climate change or actions I've taken, Other: WE GAVE UP FLYING 23 YEARS AGO")</f>
        <v>Nature friendly gardening, Adopted a more climate-friendly diet, Reduced my travel, Used lower carbon ways of travelling, Reduced my energy use, Installed insulation, Reused or repaired items, Composted or recycled waste, Reduced water use, Reduced heat risk, Taken political action, Joined a climate or environmental group, Talked to friends and family about climate change or actions I've taken, Other: WE GAVE UP FLYING 23 YEARS AGO</v>
      </c>
      <c r="G84" s="6" t="str">
        <f ca="1">IFERROR(__xludf.dummyfunction("""COMPUTED_VALUE"""),"Other: WE'RE STILL TRYING. HELPED START A COMMUNITY FARM")</f>
        <v>Other: WE'RE STILL TRYING. HELPED START A COMMUNITY FARM</v>
      </c>
      <c r="H84" s="6" t="str">
        <f ca="1">IFERROR(__xludf.dummyfunction("""COMPUTED_VALUE"""),"Other: ALREADY INVOLVED WITH LOW CARBON, LOCAL FARMING")</f>
        <v>Other: ALREADY INVOLVED WITH LOW CARBON, LOCAL FARMING</v>
      </c>
      <c r="I84" s="6" t="str">
        <f ca="1">IFERROR(__xludf.dummyfunction("""COMPUTED_VALUE"""),"Create a group to grow local fruit &amp; veg. Rent or buy a piece of land and grow sustainable, seasonal local food.")</f>
        <v>Create a group to grow local fruit &amp; veg. Rent or buy a piece of land and grow sustainable, seasonal local food.</v>
      </c>
      <c r="J84" s="6" t="str">
        <f ca="1">IFERROR(__xludf.dummyfunction("""COMPUTED_VALUE"""),"Twyford Community Farm")</f>
        <v>Twyford Community Farm</v>
      </c>
      <c r="K84" s="6"/>
      <c r="L84" s="14" t="str">
        <f ca="1">IFERROR(__xludf.dummyfunction("""COMPUTED_VALUE"""),"Over 65")</f>
        <v>Over 65</v>
      </c>
      <c r="M84" s="6"/>
      <c r="N84" s="6"/>
      <c r="O84" s="6"/>
      <c r="P84" s="6"/>
      <c r="Q84" s="6"/>
      <c r="R84" s="6"/>
      <c r="S84" s="6"/>
      <c r="T84" s="6"/>
      <c r="U84" s="6"/>
      <c r="V84" s="6"/>
      <c r="W84" s="6"/>
      <c r="X84" s="6"/>
      <c r="Y84" s="6"/>
      <c r="Z84" s="6"/>
      <c r="AA84" s="6"/>
      <c r="AB84" s="6"/>
    </row>
    <row r="85" spans="1:28" ht="57">
      <c r="A85" s="6" t="s">
        <v>387</v>
      </c>
      <c r="B85" s="13"/>
      <c r="C85" s="6" t="str">
        <f ca="1">IFERROR(__xludf.dummyfunction("""COMPUTED_VALUE"""),"Household")</f>
        <v>Household</v>
      </c>
      <c r="D85" s="14">
        <f ca="1">IFERROR(__xludf.dummyfunction("""COMPUTED_VALUE"""),5)</f>
        <v>5</v>
      </c>
      <c r="E85" s="6" t="str">
        <f ca="1">IFERROR(__xludf.dummyfunction("""COMPUTED_VALUE"""),"The impact on my children and grandchildren, Loss of biodiversity, Floods and storms, Water shortages, Extreme heat/wildfires, Higher bills, Economic/political instability, Impacts of climate change on poorer communities elsewhere in the world, Climate mi"&amp;"gration")</f>
        <v>The impact on my children and grandchildren, Loss of biodiversity, Floods and storms, Water shortages, Extreme heat/wildfires, Higher bills, Economic/political instability, Impacts of climate change on poorer communities elsewhere in the world, Climate migration</v>
      </c>
      <c r="F85" s="6" t="str">
        <f ca="1">IFERROR(__xludf.dummyfunction("""COMPUTED_VALUE"""),"Nature friendly gardening, Adopted a more climate-friendly diet, Reduced my travel, Reduced my energy use, Installed insulation, Hired or borrowed items instead of buying, Reused or repaired items, Composted or recycled waste, Reduced water use, Taken pol"&amp;"itical action, Talked to friends and family")</f>
        <v>Nature friendly gardening, Adopted a more climate-friendly diet, Reduced my travel, Reduced my energy use, Installed insulation, Hired or borrowed items instead of buying, Reused or repaired items, Composted or recycled waste, Reduced water use, Taken political action, Talked to friends and family</v>
      </c>
      <c r="G85" s="6" t="str">
        <f ca="1">IFERROR(__xludf.dummyfunction("""COMPUTED_VALUE"""),"Other: I DON'T KNOW WHAT ELSE I CAN DO")</f>
        <v>Other: I DON'T KNOW WHAT ELSE I CAN DO</v>
      </c>
      <c r="H85" s="6" t="str">
        <f ca="1">IFERROR(__xludf.dummyfunction("""COMPUTED_VALUE"""),"Information about what I can do, Practical tasks or projects, Sharing my skills and knowledge with others")</f>
        <v>Information about what I can do, Practical tasks or projects, Sharing my skills and knowledge with others</v>
      </c>
      <c r="I85" s="6"/>
      <c r="J85" s="6"/>
      <c r="K85" s="6"/>
      <c r="L85" s="14" t="str">
        <f ca="1">IFERROR(__xludf.dummyfunction("""COMPUTED_VALUE"""),"Over 65")</f>
        <v>Over 65</v>
      </c>
      <c r="M85" s="6"/>
      <c r="N85" s="6"/>
      <c r="O85" s="6"/>
      <c r="P85" s="6"/>
      <c r="Q85" s="6"/>
      <c r="R85" s="6"/>
      <c r="S85" s="6"/>
      <c r="T85" s="6"/>
      <c r="U85" s="6"/>
      <c r="V85" s="6"/>
      <c r="W85" s="6"/>
      <c r="X85" s="6"/>
      <c r="Y85" s="6"/>
      <c r="Z85" s="6"/>
      <c r="AA85" s="6"/>
      <c r="AB85" s="6"/>
    </row>
    <row r="86" spans="1:28" ht="28.5">
      <c r="A86" s="6" t="s">
        <v>387</v>
      </c>
      <c r="B86" s="13"/>
      <c r="C86" s="6" t="str">
        <f ca="1">IFERROR(__xludf.dummyfunction("""COMPUTED_VALUE"""),"Individual")</f>
        <v>Individual</v>
      </c>
      <c r="D86" s="14">
        <f ca="1">IFERROR(__xludf.dummyfunction("""COMPUTED_VALUE"""),3)</f>
        <v>3</v>
      </c>
      <c r="E86" s="6" t="str">
        <f ca="1">IFERROR(__xludf.dummyfunction("""COMPUTED_VALUE"""),"Loss of biodiversity, Extreme heat/wildfires")</f>
        <v>Loss of biodiversity, Extreme heat/wildfires</v>
      </c>
      <c r="F86" s="6" t="str">
        <f ca="1">IFERROR(__xludf.dummyfunction("""COMPUTED_VALUE"""),"Nature friendly gardening, Reduced my energy use, Installed insulation, Reused or repaired items, Composted or recycled waste, Reduced water use, Reduced heat risk")</f>
        <v>Nature friendly gardening, Reduced my energy use, Installed insulation, Reused or repaired items, Composted or recycled waste, Reduced water use, Reduced heat risk</v>
      </c>
      <c r="G86" s="6" t="str">
        <f ca="1">IFERROR(__xludf.dummyfunction("""COMPUTED_VALUE"""),"I don't have the time")</f>
        <v>I don't have the time</v>
      </c>
      <c r="H86" s="6" t="str">
        <f ca="1">IFERROR(__xludf.dummyfunction("""COMPUTED_VALUE"""),"None of the above")</f>
        <v>None of the above</v>
      </c>
      <c r="I86" s="6"/>
      <c r="J86" s="6"/>
      <c r="K86" s="6"/>
      <c r="L86" s="14" t="str">
        <f ca="1">IFERROR(__xludf.dummyfunction("""COMPUTED_VALUE"""),"Prefer not to answer")</f>
        <v>Prefer not to answer</v>
      </c>
      <c r="M86" s="6"/>
      <c r="N86" s="6"/>
      <c r="O86" s="6"/>
      <c r="P86" s="6"/>
      <c r="Q86" s="6"/>
      <c r="R86" s="6"/>
      <c r="S86" s="6"/>
      <c r="T86" s="6"/>
      <c r="U86" s="6"/>
      <c r="V86" s="6"/>
      <c r="W86" s="6"/>
      <c r="X86" s="6"/>
      <c r="Y86" s="6"/>
      <c r="Z86" s="6"/>
      <c r="AA86" s="6"/>
      <c r="AB86" s="6"/>
    </row>
    <row r="87" spans="1:28" ht="42.75">
      <c r="A87" s="6" t="s">
        <v>387</v>
      </c>
      <c r="B87" s="13"/>
      <c r="C87" s="6" t="str">
        <f ca="1">IFERROR(__xludf.dummyfunction("""COMPUTED_VALUE"""),"Individual")</f>
        <v>Individual</v>
      </c>
      <c r="D87" s="14">
        <f ca="1">IFERROR(__xludf.dummyfunction("""COMPUTED_VALUE"""),5)</f>
        <v>5</v>
      </c>
      <c r="E87" s="6" t="str">
        <f ca="1">IFERROR(__xludf.dummyfunction("""COMPUTED_VALUE"""),"The impact on my children and grandchildren, Loss of biodiversity, Floods and storms, Higher bills, Economic/political instability, Impacts of climate change on poorer communities elsewhere in the world, Climate migration")</f>
        <v>The impact on my children and grandchildren, Loss of biodiversity, Floods and storms, Higher bills, Economic/political instability, Impacts of climate change on poorer communities elsewhere in the world, Climate migration</v>
      </c>
      <c r="F87" s="6" t="str">
        <f ca="1">IFERROR(__xludf.dummyfunction("""COMPUTED_VALUE"""),"Nature friendly gardening, Invested in an electric/hybrid car, Reduced my energy use, Installed insulation, Hired or borrowed items instead of buying, Reused or repaired items, Composted or recycled waste, Reduced water use, Taken political action")</f>
        <v>Nature friendly gardening, Invested in an electric/hybrid car, Reduced my energy use, Installed insulation, Hired or borrowed items instead of buying, Reused or repaired items, Composted or recycled waste, Reduced water use, Taken political action</v>
      </c>
      <c r="G87" s="6" t="str">
        <f ca="1">IFERROR(__xludf.dummyfunction("""COMPUTED_VALUE"""),"Other: I DON'T KNOW WHAT ELSE I CAN DO")</f>
        <v>Other: I DON'T KNOW WHAT ELSE I CAN DO</v>
      </c>
      <c r="H87" s="6" t="str">
        <f ca="1">IFERROR(__xludf.dummyfunction("""COMPUTED_VALUE"""),"Information about what I can do, Attending protests")</f>
        <v>Information about what I can do, Attending protests</v>
      </c>
      <c r="I87" s="6"/>
      <c r="J87" s="6"/>
      <c r="K87" s="6"/>
      <c r="L87" s="14" t="str">
        <f ca="1">IFERROR(__xludf.dummyfunction("""COMPUTED_VALUE"""),"Prefer not to answer")</f>
        <v>Prefer not to answer</v>
      </c>
      <c r="M87" s="6"/>
      <c r="N87" s="6"/>
      <c r="O87" s="6"/>
      <c r="P87" s="6"/>
      <c r="Q87" s="6"/>
      <c r="R87" s="6"/>
      <c r="S87" s="6"/>
      <c r="T87" s="6"/>
      <c r="U87" s="6"/>
      <c r="V87" s="6"/>
      <c r="W87" s="6"/>
      <c r="X87" s="6"/>
      <c r="Y87" s="6"/>
      <c r="Z87" s="6"/>
      <c r="AA87" s="6"/>
      <c r="AB87" s="6"/>
    </row>
    <row r="88" spans="1:28" ht="42.75">
      <c r="A88" s="6" t="s">
        <v>387</v>
      </c>
      <c r="B88" s="13"/>
      <c r="C88" s="6" t="str">
        <f ca="1">IFERROR(__xludf.dummyfunction("""COMPUTED_VALUE"""),"Individual")</f>
        <v>Individual</v>
      </c>
      <c r="D88" s="14">
        <f ca="1">IFERROR(__xludf.dummyfunction("""COMPUTED_VALUE"""),5)</f>
        <v>5</v>
      </c>
      <c r="E88" s="6" t="str">
        <f ca="1">IFERROR(__xludf.dummyfunction("""COMPUTED_VALUE"""),"The impact on my children and grandchildren, Loss of biodiversity, Economic/political instability, Impacts of climate change on poorer communities elsewhere in the world")</f>
        <v>The impact on my children and grandchildren, Loss of biodiversity, Economic/political instability, Impacts of climate change on poorer communities elsewhere in the world</v>
      </c>
      <c r="F88" s="6" t="str">
        <f ca="1">IFERROR(__xludf.dummyfunction("""COMPUTED_VALUE"""),"Nature friendly gardening, Reduced my travel, Reduced my energy use, Reused or repaired items, Composted or recycled waste, Reduced water use")</f>
        <v>Nature friendly gardening, Reduced my travel, Reduced my energy use, Reused or repaired items, Composted or recycled waste, Reduced water use</v>
      </c>
      <c r="G88" s="6" t="str">
        <f ca="1">IFERROR(__xludf.dummyfunction("""COMPUTED_VALUE"""),"I believe it's up to those in power to lead")</f>
        <v>I believe it's up to those in power to lead</v>
      </c>
      <c r="H88" s="6" t="str">
        <f ca="1">IFERROR(__xludf.dummyfunction("""COMPUTED_VALUE"""),"None of the above")</f>
        <v>None of the above</v>
      </c>
      <c r="I88" s="6"/>
      <c r="J88" s="6"/>
      <c r="K88" s="6"/>
      <c r="L88" s="14" t="str">
        <f ca="1">IFERROR(__xludf.dummyfunction("""COMPUTED_VALUE"""),"Over 65")</f>
        <v>Over 65</v>
      </c>
      <c r="M88" s="6"/>
      <c r="N88" s="6"/>
      <c r="O88" s="6"/>
      <c r="P88" s="6"/>
      <c r="Q88" s="6"/>
      <c r="R88" s="6"/>
      <c r="S88" s="6"/>
      <c r="T88" s="6"/>
      <c r="U88" s="6"/>
      <c r="V88" s="6"/>
      <c r="W88" s="6"/>
      <c r="X88" s="6"/>
      <c r="Y88" s="6"/>
      <c r="Z88" s="6"/>
      <c r="AA88" s="6"/>
      <c r="AB88" s="6"/>
    </row>
    <row r="89" spans="1:28" ht="71.25">
      <c r="A89" s="6" t="s">
        <v>387</v>
      </c>
      <c r="B89" s="13"/>
      <c r="C89" s="6" t="str">
        <f ca="1">IFERROR(__xludf.dummyfunction("""COMPUTED_VALUE"""),"Household")</f>
        <v>Household</v>
      </c>
      <c r="D89" s="14">
        <f ca="1">IFERROR(__xludf.dummyfunction("""COMPUTED_VALUE"""),5)</f>
        <v>5</v>
      </c>
      <c r="E89" s="6" t="str">
        <f ca="1">IFERROR(__xludf.dummyfunction("""COMPUTED_VALUE"""),"The impact on my children and grandchildren, Loss of biodiversity, Floods and storms, Water shortages, Extreme heat/wildfires, Higher bills, Economic/political instability, Impacts of climate change on poorer communities elsewhere in the world, Climate mi"&amp;"gration")</f>
        <v>The impact on my children and grandchildren, Loss of biodiversity, Floods and storms, Water shortages, Extreme heat/wildfires, Higher bills, Economic/political instability, Impacts of climate change on poorer communities elsewhere in the world, Climate migration</v>
      </c>
      <c r="F89" s="6" t="str">
        <f ca="1">IFERROR(__xludf.dummyfunction("""COMPUTED_VALUE"""),"Adopted a more climate-friendly diet, Reused or repaired items, Composted or recycled waste, Reduced water use, Joined a climate or environmental group, Talked to friends and family about climate change, Other: WOEFULLY LITTLE! MUCH SCOPE TO IMPROVE, CLEA"&amp;"RLY.")</f>
        <v>Adopted a more climate-friendly diet, Reused or repaired items, Composted or recycled waste, Reduced water use, Joined a climate or environmental group, Talked to friends and family about climate change, Other: WOEFULLY LITTLE! MUCH SCOPE TO IMPROVE, CLEARLY.</v>
      </c>
      <c r="G89" s="6" t="str">
        <f ca="1">IFERROR(__xludf.dummyfunction("""COMPUTED_VALUE"""),"Other: LACK OF SUPPORT FROM THE FAMILY!")</f>
        <v>Other: LACK OF SUPPORT FROM THE FAMILY!</v>
      </c>
      <c r="H89" s="6" t="str">
        <f ca="1">IFERROR(__xludf.dummyfunction("""COMPUTED_VALUE"""),"Information about what I can do, Joining others with similar interest so we can create action together, Sharing my skills and knowledge with others")</f>
        <v>Information about what I can do, Joining others with similar interest so we can create action together, Sharing my skills and knowledge with others</v>
      </c>
      <c r="I89" s="6" t="str">
        <f ca="1">IFERROR(__xludf.dummyfunction("""COMPUTED_VALUE"""),"More recycling facilities.
Community veg. allotment.
Regular repair cafe/event
Clothes swaps/mending
Skills swaps")</f>
        <v>More recycling facilities.
Community veg. allotment.
Regular repair cafe/event
Clothes swaps/mending
Skills swaps</v>
      </c>
      <c r="J89" s="6"/>
      <c r="K89" s="6"/>
      <c r="L89" s="14" t="str">
        <f ca="1">IFERROR(__xludf.dummyfunction("""COMPUTED_VALUE"""),"55-64")</f>
        <v>55-64</v>
      </c>
      <c r="M89" s="6"/>
      <c r="N89" s="6"/>
      <c r="O89" s="6"/>
      <c r="P89" s="6"/>
      <c r="Q89" s="6"/>
      <c r="R89" s="6"/>
      <c r="S89" s="6"/>
      <c r="T89" s="6"/>
      <c r="U89" s="6"/>
      <c r="V89" s="6"/>
      <c r="W89" s="6"/>
      <c r="X89" s="6"/>
      <c r="Y89" s="6"/>
      <c r="Z89" s="6"/>
      <c r="AA89" s="6"/>
      <c r="AB89" s="6"/>
    </row>
    <row r="90" spans="1:28" ht="28.5">
      <c r="A90" s="6" t="s">
        <v>387</v>
      </c>
      <c r="B90" s="13"/>
      <c r="C90" s="6" t="str">
        <f ca="1">IFERROR(__xludf.dummyfunction("""COMPUTED_VALUE"""),"Individual")</f>
        <v>Individual</v>
      </c>
      <c r="D90" s="14">
        <f ca="1">IFERROR(__xludf.dummyfunction("""COMPUTED_VALUE"""),4)</f>
        <v>4</v>
      </c>
      <c r="E90" s="6" t="str">
        <f ca="1">IFERROR(__xludf.dummyfunction("""COMPUTED_VALUE"""),"The impact on my children and grandchildren, Loss of biodiversity, Floods and storms, Extreme heat/wildfires, Economic/political instability")</f>
        <v>The impact on my children and grandchildren, Loss of biodiversity, Floods and storms, Extreme heat/wildfires, Economic/political instability</v>
      </c>
      <c r="F90" s="6" t="str">
        <f ca="1">IFERROR(__xludf.dummyfunction("""COMPUTED_VALUE"""),"Nature friendly gardening, Adopted a more climate-friendly diet, Used lower carbon ways of travelling, Composted or recycled waste, Reduced water use")</f>
        <v>Nature friendly gardening, Adopted a more climate-friendly diet, Used lower carbon ways of travelling, Composted or recycled waste, Reduced water use</v>
      </c>
      <c r="G90" s="6" t="str">
        <f ca="1">IFERROR(__xludf.dummyfunction("""COMPUTED_VALUE"""),"N/A")</f>
        <v>N/A</v>
      </c>
      <c r="H90" s="6" t="str">
        <f ca="1">IFERROR(__xludf.dummyfunction("""COMPUTED_VALUE"""),"N/A")</f>
        <v>N/A</v>
      </c>
      <c r="I90" s="6"/>
      <c r="J90" s="6"/>
      <c r="K90" s="6"/>
      <c r="L90" s="14" t="str">
        <f ca="1">IFERROR(__xludf.dummyfunction("""COMPUTED_VALUE"""),"Over 65")</f>
        <v>Over 65</v>
      </c>
      <c r="M90" s="6"/>
      <c r="N90" s="6"/>
      <c r="O90" s="6"/>
      <c r="P90" s="6"/>
      <c r="Q90" s="6"/>
      <c r="R90" s="6"/>
      <c r="S90" s="6"/>
      <c r="T90" s="6"/>
      <c r="U90" s="6"/>
      <c r="V90" s="6"/>
      <c r="W90" s="6"/>
      <c r="X90" s="6"/>
      <c r="Y90" s="6"/>
      <c r="Z90" s="6"/>
      <c r="AA90" s="6"/>
      <c r="AB90" s="6"/>
    </row>
    <row r="91" spans="1:28" ht="42.75">
      <c r="A91" s="6" t="s">
        <v>387</v>
      </c>
      <c r="B91" s="13"/>
      <c r="C91" s="6" t="str">
        <f ca="1">IFERROR(__xludf.dummyfunction("""COMPUTED_VALUE"""),"Household")</f>
        <v>Household</v>
      </c>
      <c r="D91" s="14">
        <f ca="1">IFERROR(__xludf.dummyfunction("""COMPUTED_VALUE"""),4)</f>
        <v>4</v>
      </c>
      <c r="E91" s="6" t="str">
        <f ca="1">IFERROR(__xludf.dummyfunction("""COMPUTED_VALUE"""),"The impact on my children and grandchildren, Loss of biodiversity, Extreme heat/wildfires, Higher bills, Economic/political instability")</f>
        <v>The impact on my children and grandchildren, Loss of biodiversity, Extreme heat/wildfires, Higher bills, Economic/political instability</v>
      </c>
      <c r="F91" s="6" t="str">
        <f ca="1">IFERROR(__xludf.dummyfunction("""COMPUTED_VALUE"""),"Nature friendly gardening, Adopted a more climate-friendly diet, Invested in an electric/hybrid car, Hired or borrowed items instead of buying, Reused or repaired items, Composted or recycled waste, Reduced water use")</f>
        <v>Nature friendly gardening, Adopted a more climate-friendly diet, Invested in an electric/hybrid car, Hired or borrowed items instead of buying, Reused or repaired items, Composted or recycled waste, Reduced water use</v>
      </c>
      <c r="G91" s="6" t="str">
        <f ca="1">IFERROR(__xludf.dummyfunction("""COMPUTED_VALUE"""),"I don't have the money, I don't have the time")</f>
        <v>I don't have the money, I don't have the time</v>
      </c>
      <c r="H91" s="6" t="str">
        <f ca="1">IFERROR(__xludf.dummyfunction("""COMPUTED_VALUE"""),"Information about what I can do, Practical tasks or projects")</f>
        <v>Information about what I can do, Practical tasks or projects</v>
      </c>
      <c r="I91" s="6" t="str">
        <f ca="1">IFERROR(__xludf.dummyfunction("""COMPUTED_VALUE"""),"Advocate for better bus transport and bike paths.
Plant more fruit trees, vegetables for community.")</f>
        <v>Advocate for better bus transport and bike paths.
Plant more fruit trees, vegetables for community.</v>
      </c>
      <c r="J91" s="6" t="str">
        <f ca="1">IFERROR(__xludf.dummyfunction("""COMPUTED_VALUE"""),"Action green")</f>
        <v>Action green</v>
      </c>
      <c r="K91" s="6"/>
      <c r="L91" s="14" t="str">
        <f ca="1">IFERROR(__xludf.dummyfunction("""COMPUTED_VALUE"""),"35-44")</f>
        <v>35-44</v>
      </c>
      <c r="M91" s="6"/>
      <c r="N91" s="6"/>
      <c r="O91" s="6"/>
      <c r="P91" s="6"/>
      <c r="Q91" s="6"/>
      <c r="R91" s="6"/>
      <c r="S91" s="6"/>
      <c r="T91" s="6"/>
      <c r="U91" s="6"/>
      <c r="V91" s="6"/>
      <c r="W91" s="6"/>
      <c r="X91" s="6"/>
      <c r="Y91" s="6"/>
      <c r="Z91" s="6"/>
      <c r="AA91" s="6"/>
      <c r="AB91" s="6"/>
    </row>
    <row r="92" spans="1:28" ht="99.75">
      <c r="A92" s="6" t="s">
        <v>387</v>
      </c>
      <c r="B92" s="13"/>
      <c r="C92" s="6" t="str">
        <f ca="1">IFERROR(__xludf.dummyfunction("""COMPUTED_VALUE"""),"Individual")</f>
        <v>Individual</v>
      </c>
      <c r="D92" s="14">
        <f ca="1">IFERROR(__xludf.dummyfunction("""COMPUTED_VALUE"""),5)</f>
        <v>5</v>
      </c>
      <c r="E92" s="6" t="str">
        <f ca="1">IFERROR(__xludf.dummyfunction("""COMPUTED_VALUE"""),"Loss of biodiversity, Floods and storms, Water shortages, Extreme heat/wildfires, Higher bills, Economic/political instability, Impacts of climate change on poorer communities elsewhere in the world, Climate migration")</f>
        <v>Loss of biodiversity, Floods and storms, Water shortages, Extreme heat/wildfires, Higher bills, Economic/political instability, Impacts of climate change on poorer communities elsewhere in the world, Climate migration</v>
      </c>
      <c r="F92" s="6" t="str">
        <f ca="1">IFERROR(__xludf.dummyfunction("""COMPUTED_VALUE"""),"N/A")</f>
        <v>N/A</v>
      </c>
      <c r="G92" s="6" t="str">
        <f ca="1">IFERROR(__xludf.dummyfunction("""COMPUTED_VALUE"""),"N/A")</f>
        <v>N/A</v>
      </c>
      <c r="H92" s="6" t="str">
        <f ca="1">IFERROR(__xludf.dummyfunction("""COMPUTED_VALUE"""),"N/A")</f>
        <v>N/A</v>
      </c>
      <c r="I92" s="6" t="str">
        <f ca="1">IFERROR(__xludf.dummyfunction("""COMPUTED_VALUE"""),"Improve ease for cycling, particularly into Winchester.
Good recycling facilities.
Give advice to people about what they can in their own houses + gardens.
Repair cafe.
Discourate large lorries.
Provide information about food miles.")</f>
        <v>Improve ease for cycling, particularly into Winchester.
Good recycling facilities.
Give advice to people about what they can in their own houses + gardens.
Repair cafe.
Discourate large lorries.
Provide information about food miles.</v>
      </c>
      <c r="J92" s="6"/>
      <c r="K92" s="6"/>
      <c r="L92" s="14" t="str">
        <f ca="1">IFERROR(__xludf.dummyfunction("""COMPUTED_VALUE"""),"Over 65")</f>
        <v>Over 65</v>
      </c>
      <c r="M92" s="6"/>
      <c r="N92" s="6"/>
      <c r="O92" s="6"/>
      <c r="P92" s="6"/>
      <c r="Q92" s="6"/>
      <c r="R92" s="6"/>
      <c r="S92" s="6"/>
      <c r="T92" s="6"/>
      <c r="U92" s="6"/>
      <c r="V92" s="6"/>
      <c r="W92" s="6"/>
      <c r="X92" s="6"/>
      <c r="Y92" s="6"/>
      <c r="Z92" s="6"/>
      <c r="AA92" s="6"/>
      <c r="AB92" s="6"/>
    </row>
    <row r="93" spans="1:28" ht="42.75">
      <c r="A93" s="6" t="s">
        <v>387</v>
      </c>
      <c r="B93" s="13"/>
      <c r="C93" s="6" t="str">
        <f ca="1">IFERROR(__xludf.dummyfunction("""COMPUTED_VALUE"""),"Household")</f>
        <v>Household</v>
      </c>
      <c r="D93" s="14">
        <f ca="1">IFERROR(__xludf.dummyfunction("""COMPUTED_VALUE"""),4)</f>
        <v>4</v>
      </c>
      <c r="E93" s="6" t="str">
        <f ca="1">IFERROR(__xludf.dummyfunction("""COMPUTED_VALUE"""),"The impact on my children and grandchildren, Loss of biodiversity, Floods and storms, Impacts of climate change on poorer communities elsewhere in the world")</f>
        <v>The impact on my children and grandchildren, Loss of biodiversity, Floods and storms, Impacts of climate change on poorer communities elsewhere in the world</v>
      </c>
      <c r="F93" s="6" t="str">
        <f ca="1">IFERROR(__xludf.dummyfunction("""COMPUTED_VALUE"""),"Nature friendly gardening, Adopted a more climate friendly diet, Reduced my travel, Used lower carbon ways of travelling, Reduced my energy use, Installed insulation, Composted or recycled waste, Reduced water use")</f>
        <v>Nature friendly gardening, Adopted a more climate friendly diet, Reduced my travel, Used lower carbon ways of travelling, Reduced my energy use, Installed insulation, Composted or recycled waste, Reduced water use</v>
      </c>
      <c r="G93" s="6" t="str">
        <f ca="1">IFERROR(__xludf.dummyfunction("""COMPUTED_VALUE"""),"Other: I DO WHAT I CAN BUT MORE NEEDS TO BE DONE BY COMPANIES I.E. LESS PLASTIC CONTAINERS")</f>
        <v>Other: I DO WHAT I CAN BUT MORE NEEDS TO BE DONE BY COMPANIES I.E. LESS PLASTIC CONTAINERS</v>
      </c>
      <c r="H93" s="6" t="str">
        <f ca="1">IFERROR(__xludf.dummyfunction("""COMPUTED_VALUE"""),"Attending protests")</f>
        <v>Attending protests</v>
      </c>
      <c r="I93" s="6" t="str">
        <f ca="1">IFERROR(__xludf.dummyfunction("""COMPUTED_VALUE"""),"Use available land to plant native trees/plants to encourage wildlife locally.")</f>
        <v>Use available land to plant native trees/plants to encourage wildlife locally.</v>
      </c>
      <c r="J93" s="6"/>
      <c r="K93" s="6"/>
      <c r="L93" s="14" t="str">
        <f ca="1">IFERROR(__xludf.dummyfunction("""COMPUTED_VALUE"""),"55-64")</f>
        <v>55-64</v>
      </c>
      <c r="M93" s="6"/>
      <c r="N93" s="6"/>
      <c r="O93" s="6"/>
      <c r="P93" s="6"/>
      <c r="Q93" s="6"/>
      <c r="R93" s="6"/>
      <c r="S93" s="6"/>
      <c r="T93" s="6"/>
      <c r="U93" s="6"/>
      <c r="V93" s="6"/>
      <c r="W93" s="6"/>
      <c r="X93" s="6"/>
      <c r="Y93" s="6"/>
      <c r="Z93" s="6"/>
      <c r="AA93" s="6"/>
      <c r="AB93" s="6"/>
    </row>
    <row r="94" spans="1:28" ht="42.75">
      <c r="A94" s="6" t="s">
        <v>387</v>
      </c>
      <c r="B94" s="13"/>
      <c r="C94" s="6" t="str">
        <f ca="1">IFERROR(__xludf.dummyfunction("""COMPUTED_VALUE"""),"Household")</f>
        <v>Household</v>
      </c>
      <c r="D94" s="14">
        <f ca="1">IFERROR(__xludf.dummyfunction("""COMPUTED_VALUE"""),3)</f>
        <v>3</v>
      </c>
      <c r="E94" s="6" t="str">
        <f ca="1">IFERROR(__xludf.dummyfunction("""COMPUTED_VALUE"""),"The impact on my children and grandchildren, Loss of biodiversity, Floods and storms, Water shortages, Extreme heat/wildfires, Higher bills, Impacts of climate change on poorer communities elsewhere in the world")</f>
        <v>The impact on my children and grandchildren, Loss of biodiversity, Floods and storms, Water shortages, Extreme heat/wildfires, Higher bills, Impacts of climate change on poorer communities elsewhere in the world</v>
      </c>
      <c r="F94" s="6" t="str">
        <f ca="1">IFERROR(__xludf.dummyfunction("""COMPUTED_VALUE"""),"Nature friendly gardening, Reduced my energy use, Installed insulation, Composted or recycled waste, Reduced water use")</f>
        <v>Nature friendly gardening, Reduced my energy use, Installed insulation, Composted or recycled waste, Reduced water use</v>
      </c>
      <c r="G94" s="6" t="str">
        <f ca="1">IFERROR(__xludf.dummyfunction("""COMPUTED_VALUE"""),"I don't have the money, I don't believe I can have an impact")</f>
        <v>I don't have the money, I don't believe I can have an impact</v>
      </c>
      <c r="H94" s="6" t="str">
        <f ca="1">IFERROR(__xludf.dummyfunction("""COMPUTED_VALUE"""),"Information about what I can do, Practical tasks or projects")</f>
        <v>Information about what I can do, Practical tasks or projects</v>
      </c>
      <c r="I94" s="6" t="str">
        <f ca="1">IFERROR(__xludf.dummyfunction("""COMPUTED_VALUE"""),"Village solar panel scheme (bulk order for those that need them)")</f>
        <v>Village solar panel scheme (bulk order for those that need them)</v>
      </c>
      <c r="J94" s="6"/>
      <c r="K94" s="6"/>
      <c r="L94" s="14" t="str">
        <f ca="1">IFERROR(__xludf.dummyfunction("""COMPUTED_VALUE"""),"15 or younger, 35-44")</f>
        <v>15 or younger, 35-44</v>
      </c>
      <c r="M94" s="6"/>
      <c r="N94" s="6"/>
      <c r="O94" s="6"/>
      <c r="P94" s="6"/>
      <c r="Q94" s="6"/>
      <c r="R94" s="6"/>
      <c r="S94" s="6"/>
      <c r="T94" s="6"/>
      <c r="U94" s="6"/>
      <c r="V94" s="6"/>
      <c r="W94" s="6"/>
      <c r="X94" s="6"/>
      <c r="Y94" s="6"/>
      <c r="Z94" s="6"/>
      <c r="AA94" s="6"/>
      <c r="AB94" s="6"/>
    </row>
    <row r="95" spans="1:28" ht="57">
      <c r="A95" s="6" t="s">
        <v>387</v>
      </c>
      <c r="B95" s="13"/>
      <c r="C95" s="6" t="str">
        <f ca="1">IFERROR(__xludf.dummyfunction("""COMPUTED_VALUE"""),"Household")</f>
        <v>Household</v>
      </c>
      <c r="D95" s="14">
        <f ca="1">IFERROR(__xludf.dummyfunction("""COMPUTED_VALUE"""),4)</f>
        <v>4</v>
      </c>
      <c r="E95" s="6" t="str">
        <f ca="1">IFERROR(__xludf.dummyfunction("""COMPUTED_VALUE"""),"The impact on my childrenn and grandchildren, Loss of biodiversity, Floods and storms, Water shortages, Extreme heat/wildfires, Higher bills, Economic/political instability, Impacts of climate change on poorer communities elsewhere in the world, Climate m"&amp;"igration")</f>
        <v>The impact on my childrenn and grandchildren, Loss of biodiversity, Floods and storms, Water shortages, Extreme heat/wildfires, Higher bills, Economic/political instability, Impacts of climate change on poorer communities elsewhere in the world, Climate migration</v>
      </c>
      <c r="F95" s="6" t="str">
        <f ca="1">IFERROR(__xludf.dummyfunction("""COMPUTED_VALUE"""),"Nature friendly gardening, Adopted a more climate-friendly diet, Reduced my travel, Used lower carbon ways of travelling, Installed insulation, Reused or repaired items, Composted or recycled waste, Reduced flood risk by replacing solid surfaces with perm"&amp;"eable surfaces, Reduced water use")</f>
        <v>Nature friendly gardening, Adopted a more climate-friendly diet, Reduced my travel, Used lower carbon ways of travelling, Installed insulation, Reused or repaired items, Composted or recycled waste, Reduced flood risk by replacing solid surfaces with permeable surfaces, Reduced water use</v>
      </c>
      <c r="G95" s="6" t="str">
        <f ca="1">IFERROR(__xludf.dummyfunction("""COMPUTED_VALUE"""),"I believe it's up to those in power to lead, I've done as much as I can")</f>
        <v>I believe it's up to those in power to lead, I've done as much as I can</v>
      </c>
      <c r="H95" s="6" t="str">
        <f ca="1">IFERROR(__xludf.dummyfunction("""COMPUTED_VALUE"""),"Information about what I can do (including talks/demonstrations)")</f>
        <v>Information about what I can do (including talks/demonstrations)</v>
      </c>
      <c r="I95" s="6" t="str">
        <f ca="1">IFERROR(__xludf.dummyfunction("""COMPUTED_VALUE"""),"Educate")</f>
        <v>Educate</v>
      </c>
      <c r="J95" s="6"/>
      <c r="K95" s="6"/>
      <c r="L95" s="14" t="str">
        <f ca="1">IFERROR(__xludf.dummyfunction("""COMPUTED_VALUE"""),"Over 65")</f>
        <v>Over 65</v>
      </c>
      <c r="M95" s="6"/>
      <c r="N95" s="6"/>
      <c r="O95" s="6"/>
      <c r="P95" s="6"/>
      <c r="Q95" s="6"/>
      <c r="R95" s="6"/>
      <c r="S95" s="6"/>
      <c r="T95" s="6"/>
      <c r="U95" s="6"/>
      <c r="V95" s="6"/>
      <c r="W95" s="6"/>
      <c r="X95" s="6"/>
      <c r="Y95" s="6"/>
      <c r="Z95" s="6"/>
      <c r="AA95" s="6"/>
      <c r="AB95" s="6"/>
    </row>
    <row r="96" spans="1:28" ht="28.5">
      <c r="A96" s="6" t="s">
        <v>387</v>
      </c>
      <c r="B96" s="13"/>
      <c r="C96" s="6" t="str">
        <f ca="1">IFERROR(__xludf.dummyfunction("""COMPUTED_VALUE"""),"Individual")</f>
        <v>Individual</v>
      </c>
      <c r="D96" s="14">
        <f ca="1">IFERROR(__xludf.dummyfunction("""COMPUTED_VALUE"""),4)</f>
        <v>4</v>
      </c>
      <c r="E96" s="6" t="str">
        <f ca="1">IFERROR(__xludf.dummyfunction("""COMPUTED_VALUE"""),"Loss of biodiversity, Floods and storms, Extreme heat/wildfires")</f>
        <v>Loss of biodiversity, Floods and storms, Extreme heat/wildfires</v>
      </c>
      <c r="F96" s="6" t="str">
        <f ca="1">IFERROR(__xludf.dummyfunction("""COMPUTED_VALUE"""),"Reduced my travel, Reduced my energy use, Composted or recycled waste, Joined a climate or environmental group")</f>
        <v>Reduced my travel, Reduced my energy use, Composted or recycled waste, Joined a climate or environmental group</v>
      </c>
      <c r="G96" s="6" t="str">
        <f ca="1">IFERROR(__xludf.dummyfunction("""COMPUTED_VALUE"""),"I don't have the money, I don't have the time")</f>
        <v>I don't have the money, I don't have the time</v>
      </c>
      <c r="H96" s="6" t="str">
        <f ca="1">IFERROR(__xludf.dummyfunction("""COMPUTED_VALUE"""),"Information about what I can do")</f>
        <v>Information about what I can do</v>
      </c>
      <c r="I96" s="6"/>
      <c r="J96" s="6"/>
      <c r="K96" s="6" t="str">
        <f ca="1">IFERROR(__xludf.dummyfunction("""COMPUTED_VALUE"""),"Think the world needs to go green in ways that ordinary people can afford. Also important to green normal activities like going on holiday rather than expect massive behavioural change. 
Thanks for asking. 
David")</f>
        <v>Think the world needs to go green in ways that ordinary people can afford. Also important to green normal activities like going on holiday rather than expect massive behavioural change. 
Thanks for asking. 
David</v>
      </c>
      <c r="L96" s="14" t="str">
        <f ca="1">IFERROR(__xludf.dummyfunction("""COMPUTED_VALUE"""),"Prefer not to answer")</f>
        <v>Prefer not to answer</v>
      </c>
      <c r="M96" s="6"/>
      <c r="N96" s="6"/>
      <c r="O96" s="6"/>
      <c r="P96" s="6"/>
      <c r="Q96" s="6"/>
      <c r="R96" s="6"/>
      <c r="S96" s="6"/>
      <c r="T96" s="6"/>
      <c r="U96" s="6"/>
      <c r="V96" s="6"/>
      <c r="W96" s="6"/>
      <c r="X96" s="6"/>
      <c r="Y96" s="6"/>
      <c r="Z96" s="6"/>
      <c r="AA96" s="6"/>
      <c r="AB96" s="6"/>
    </row>
    <row r="97" spans="1:28" ht="114">
      <c r="A97" s="6" t="s">
        <v>387</v>
      </c>
      <c r="B97" s="13"/>
      <c r="C97" s="6" t="str">
        <f ca="1">IFERROR(__xludf.dummyfunction("""COMPUTED_VALUE"""),"Individual")</f>
        <v>Individual</v>
      </c>
      <c r="D97" s="14">
        <f ca="1">IFERROR(__xludf.dummyfunction("""COMPUTED_VALUE"""),3)</f>
        <v>3</v>
      </c>
      <c r="E97" s="6" t="str">
        <f ca="1">IFERROR(__xludf.dummyfunction("""COMPUTED_VALUE"""),"Loss of biodiversity, Floods and storms, Water shortages, Higher bills, Economic/political instability, Climate migration")</f>
        <v>Loss of biodiversity, Floods and storms, Water shortages, Higher bills, Economic/political instability, Climate migration</v>
      </c>
      <c r="F97" s="6" t="str">
        <f ca="1">IFERROR(__xludf.dummyfunction("""COMPUTED_VALUE"""),"Reduced my travel, Used lower carbon ways of travelling, Invested in an electric/hybrid car, Composted or recycled waste")</f>
        <v>Reduced my travel, Used lower carbon ways of travelling, Invested in an electric/hybrid car, Composted or recycled waste</v>
      </c>
      <c r="G97" s="6" t="str">
        <f ca="1">IFERROR(__xludf.dummyfunction("""COMPUTED_VALUE"""),"I don't know what I can do, I don't have the time, I feel stuck")</f>
        <v>I don't know what I can do, I don't have the time, I feel stuck</v>
      </c>
      <c r="H97" s="6" t="str">
        <f ca="1">IFERROR(__xludf.dummyfunction("""COMPUTED_VALUE"""),"Information about what I can do, Joining others with similar interests so we can create action together, Sharing my skills and knowledge with others")</f>
        <v>Information about what I can do, Joining others with similar interests so we can create action together, Sharing my skills and knowledge with others</v>
      </c>
      <c r="I97" s="6" t="str">
        <f ca="1">IFERROR(__xludf.dummyfunction("""COMPUTED_VALUE"""),"Talk about small achievable changes which are to do w/daily routine. Include ppl from all walks of life + how small groups can come together. I.e. A communal compost?")</f>
        <v>Talk about small achievable changes which are to do w/daily routine. Include ppl from all walks of life + how small groups can come together. I.e. A communal compost?</v>
      </c>
      <c r="J97" s="6" t="str">
        <f ca="1">IFERROR(__xludf.dummyfunction("""COMPUTED_VALUE"""),"Twyford Environmental Association?
Twyford Environmental Action?")</f>
        <v>Twyford Environmental Association?
Twyford Environmental Action?</v>
      </c>
      <c r="K97" s="6"/>
      <c r="L97" s="14" t="str">
        <f ca="1">IFERROR(__xludf.dummyfunction("""COMPUTED_VALUE"""),"Prefer not to answer")</f>
        <v>Prefer not to answer</v>
      </c>
      <c r="M97" s="6" t="s">
        <v>352</v>
      </c>
      <c r="N97" s="6"/>
      <c r="O97" s="6"/>
      <c r="P97" s="6"/>
      <c r="Q97" s="6"/>
      <c r="R97" s="6"/>
      <c r="S97" s="6"/>
      <c r="T97" s="6"/>
      <c r="U97" s="6"/>
      <c r="V97" s="6"/>
      <c r="W97" s="6"/>
      <c r="X97" s="6"/>
      <c r="Y97" s="6"/>
      <c r="Z97" s="6"/>
      <c r="AA97" s="6"/>
      <c r="AB97" s="6"/>
    </row>
    <row r="98" spans="1:28" ht="99.75">
      <c r="A98" s="6" t="s">
        <v>387</v>
      </c>
      <c r="B98" s="13"/>
      <c r="C98" s="6" t="str">
        <f ca="1">IFERROR(__xludf.dummyfunction("""COMPUTED_VALUE"""),"Household")</f>
        <v>Household</v>
      </c>
      <c r="D98" s="14">
        <f ca="1">IFERROR(__xludf.dummyfunction("""COMPUTED_VALUE"""),5)</f>
        <v>5</v>
      </c>
      <c r="E98" s="6" t="str">
        <f ca="1">IFERROR(__xludf.dummyfunction("""COMPUTED_VALUE"""),"The impact on my children and grandchildren, Loss of biodiversity, Floods and storms, Water shortages, Extreme heat/wildfires, Higher bills, Economic/political instability, Impacts of climate change on poorer communities elsewhere in the world, Other: PEO"&amp;"PLE NOT MAKING ANY EFFORT TO REDUCE FLYING, WORLD-TRAVEL USE OF VEHICLES. NOT KEEPING GRASS GARDENS, NOT PERMITTING DRAINAGE. CONCRETE OVER EVERYTHING.")</f>
        <v>The impact on my children and grandchildren, Loss of biodiversity, Floods and storms, Water shortages, Extreme heat/wildfires, Higher bills, Economic/political instability, Impacts of climate change on poorer communities elsewhere in the world, Other: PEOPLE NOT MAKING ANY EFFORT TO REDUCE FLYING, WORLD-TRAVEL USE OF VEHICLES. NOT KEEPING GRASS GARDENS, NOT PERMITTING DRAINAGE. CONCRETE OVER EVERYTHING.</v>
      </c>
      <c r="F98" s="6" t="str">
        <f ca="1">IFERROR(__xludf.dummyfunction("""COMPUTED_VALUE"""),"Nature friendly gardening, adopted a more climat-friendly diet, Reduced my travel, used lower carbon ways of travelling, Installed insulation, Reused or repaired items, Composted or recycled waste, Reduced flood risk by replacing solid surfaces with perme"&amp;"able surfaces, Reduced water use, Reduced heat risk, Taken political action, Talked to family and friends about climate change or actions I've taken")</f>
        <v>Nature friendly gardening, adopted a more climat-friendly diet, Reduced my travel, used lower carbon ways of travelling, Installed insulation, Reused or repaired items, Composted or recycled waste, Reduced flood risk by replacing solid surfaces with permeable surfaces, Reduced water use, Reduced heat risk, Taken political action, Talked to family and friends about climate change or actions I've taken</v>
      </c>
      <c r="G98" s="6" t="str">
        <f ca="1">IFERROR(__xludf.dummyfunction("""COMPUTED_VALUE"""),"I don't have the money, I don't have the time, Other: HEALTH PROBLEMS - WALKING, BLOOD PRESSURE, NEEDING TO HAVE ACCESS TO WC.")</f>
        <v>I don't have the money, I don't have the time, Other: HEALTH PROBLEMS - WALKING, BLOOD PRESSURE, NEEDING TO HAVE ACCESS TO WC.</v>
      </c>
      <c r="H98" s="6" t="str">
        <f ca="1">IFERROR(__xludf.dummyfunction("""COMPUTED_VALUE"""),"Opportunities to talk about my feeligns about climate change, Sharing my skills and knowledge with others, Setting up locally run projects or campaigns, Other: LOOKING AFTER THE ENVIRONMENT. ATTENDING MEETINGS ENCOURAGING EDUCATION")</f>
        <v>Opportunities to talk about my feeligns about climate change, Sharing my skills and knowledge with others, Setting up locally run projects or campaigns, Other: LOOKING AFTER THE ENVIRONMENT. ATTENDING MEETINGS ENCOURAGING EDUCATION</v>
      </c>
      <c r="I98" s="6" t="str">
        <f ca="1">IFERROR(__xludf.dummyfunction("""COMPUTED_VALUE"""),"Think carefully about what you do, recycle repair, help other people. Plant pollen encourage bees.")</f>
        <v>Think carefully about what you do, recycle repair, help other people. Plant pollen encourage bees.</v>
      </c>
      <c r="J98" s="6"/>
      <c r="K98" s="6"/>
      <c r="L98" s="14" t="str">
        <f ca="1">IFERROR(__xludf.dummyfunction("""COMPUTED_VALUE"""),"Over 65")</f>
        <v>Over 65</v>
      </c>
      <c r="M98" s="6"/>
      <c r="N98" s="6"/>
      <c r="O98" s="6"/>
      <c r="P98" s="6"/>
      <c r="Q98" s="6"/>
      <c r="R98" s="6"/>
      <c r="S98" s="6"/>
      <c r="T98" s="6"/>
      <c r="U98" s="6"/>
      <c r="V98" s="6"/>
      <c r="W98" s="6"/>
      <c r="X98" s="6"/>
      <c r="Y98" s="6"/>
      <c r="Z98" s="6"/>
      <c r="AA98" s="6"/>
      <c r="AB98" s="6"/>
    </row>
    <row r="99" spans="1:28" ht="28.5">
      <c r="A99" s="6" t="s">
        <v>387</v>
      </c>
      <c r="B99" s="13"/>
      <c r="C99" s="6" t="str">
        <f ca="1">IFERROR(__xludf.dummyfunction("""COMPUTED_VALUE"""),"Household")</f>
        <v>Household</v>
      </c>
      <c r="D99" s="14">
        <f ca="1">IFERROR(__xludf.dummyfunction("""COMPUTED_VALUE"""),3)</f>
        <v>3</v>
      </c>
      <c r="E99" s="6" t="str">
        <f ca="1">IFERROR(__xludf.dummyfunction("""COMPUTED_VALUE"""),"Higher bills")</f>
        <v>Higher bills</v>
      </c>
      <c r="F99" s="6" t="str">
        <f ca="1">IFERROR(__xludf.dummyfunction("""COMPUTED_VALUE"""),"Nature friendly gardening, Adopted a more climate-friendly diet, Reused or repaired items, Reduced water use")</f>
        <v>Nature friendly gardening, Adopted a more climate-friendly diet, Reused or repaired items, Reduced water use</v>
      </c>
      <c r="G99" s="6" t="str">
        <f ca="1">IFERROR(__xludf.dummyfunction("""COMPUTED_VALUE"""),"I've done as much as I can")</f>
        <v>I've done as much as I can</v>
      </c>
      <c r="H99" s="6" t="str">
        <f ca="1">IFERROR(__xludf.dummyfunction("""COMPUTED_VALUE"""),"None of the above")</f>
        <v>None of the above</v>
      </c>
      <c r="I99" s="6"/>
      <c r="J99" s="6"/>
      <c r="K99" s="6"/>
      <c r="L99" s="14" t="str">
        <f ca="1">IFERROR(__xludf.dummyfunction("""COMPUTED_VALUE"""),"35-44")</f>
        <v>35-44</v>
      </c>
      <c r="M99" s="6"/>
      <c r="N99" s="6"/>
      <c r="O99" s="6"/>
      <c r="P99" s="6"/>
      <c r="Q99" s="6"/>
      <c r="R99" s="6"/>
      <c r="S99" s="6"/>
      <c r="T99" s="6"/>
      <c r="U99" s="6"/>
      <c r="V99" s="6"/>
      <c r="W99" s="6"/>
      <c r="X99" s="6"/>
      <c r="Y99" s="6"/>
      <c r="Z99" s="6"/>
      <c r="AA99" s="6"/>
      <c r="AB99" s="6"/>
    </row>
    <row r="100" spans="1:28" ht="42.75">
      <c r="A100" s="6" t="s">
        <v>387</v>
      </c>
      <c r="B100" s="13"/>
      <c r="C100" s="6" t="str">
        <f ca="1">IFERROR(__xludf.dummyfunction("""COMPUTED_VALUE"""),"Individual")</f>
        <v>Individual</v>
      </c>
      <c r="D100" s="14">
        <f ca="1">IFERROR(__xludf.dummyfunction("""COMPUTED_VALUE"""),4)</f>
        <v>4</v>
      </c>
      <c r="E100" s="6" t="str">
        <f ca="1">IFERROR(__xludf.dummyfunction("""COMPUTED_VALUE"""),"The impact on my children and grandchildren, Floods and storms, Water shortages, Extreme heat/wildfires, Impacts of climate change on poorer communities elsewhere in the world")</f>
        <v>The impact on my children and grandchildren, Floods and storms, Water shortages, Extreme heat/wildfires, Impacts of climate change on poorer communities elsewhere in the world</v>
      </c>
      <c r="F100" s="6" t="str">
        <f ca="1">IFERROR(__xludf.dummyfunction("""COMPUTED_VALUE"""),"Adopted a more climate-friendly diet, used lower carbon ways of travelling, Reduced my energy use, Reused or repaired items, Reduced water use")</f>
        <v>Adopted a more climate-friendly diet, used lower carbon ways of travelling, Reduced my energy use, Reused or repaired items, Reduced water use</v>
      </c>
      <c r="G100" s="6" t="str">
        <f ca="1">IFERROR(__xludf.dummyfunction("""COMPUTED_VALUE"""),"I've done as much as I can")</f>
        <v>I've done as much as I can</v>
      </c>
      <c r="H100" s="6" t="str">
        <f ca="1">IFERROR(__xludf.dummyfunction("""COMPUTED_VALUE"""),"None of the above")</f>
        <v>None of the above</v>
      </c>
      <c r="I100" s="6" t="str">
        <f ca="1">IFERROR(__xludf.dummyfunction("""COMPUTED_VALUE"""),"Use public transport")</f>
        <v>Use public transport</v>
      </c>
      <c r="J100" s="6"/>
      <c r="K100" s="6"/>
      <c r="L100" s="14" t="str">
        <f ca="1">IFERROR(__xludf.dummyfunction("""COMPUTED_VALUE"""),"Over 65")</f>
        <v>Over 65</v>
      </c>
      <c r="M100" s="6"/>
      <c r="N100" s="6"/>
      <c r="O100" s="6"/>
      <c r="P100" s="6"/>
      <c r="Q100" s="6"/>
      <c r="R100" s="6"/>
      <c r="S100" s="6"/>
      <c r="T100" s="6"/>
      <c r="U100" s="6"/>
      <c r="V100" s="6"/>
      <c r="W100" s="6"/>
      <c r="X100" s="6"/>
      <c r="Y100" s="6"/>
      <c r="Z100" s="6"/>
      <c r="AA100" s="6"/>
      <c r="AB100" s="6"/>
    </row>
    <row r="101" spans="1:28" ht="185.25">
      <c r="A101" s="6" t="s">
        <v>387</v>
      </c>
      <c r="B101" s="13"/>
      <c r="C101" s="6" t="str">
        <f ca="1">IFERROR(__xludf.dummyfunction("""COMPUTED_VALUE"""),"Individual")</f>
        <v>Individual</v>
      </c>
      <c r="D101" s="14">
        <f ca="1">IFERROR(__xludf.dummyfunction("""COMPUTED_VALUE"""),3)</f>
        <v>3</v>
      </c>
      <c r="E101" s="6" t="str">
        <f ca="1">IFERROR(__xludf.dummyfunction("""COMPUTED_VALUE"""),"The impact on my children and grandchildren, Water shortages, Economic/political instability")</f>
        <v>The impact on my children and grandchildren, Water shortages, Economic/political instability</v>
      </c>
      <c r="F101" s="6" t="str">
        <f ca="1">IFERROR(__xludf.dummyfunction("""COMPUTED_VALUE"""),"Nature friendly gardening, Reused or repaired items, Composted or recycled waste, Reduced water use, Talked to friends and family about climate change or actions I've taken, Other:")</f>
        <v>Nature friendly gardening, Reused or repaired items, Composted or recycled waste, Reduced water use, Talked to friends and family about climate change or actions I've taken, Other:</v>
      </c>
      <c r="G101" s="6" t="str">
        <f ca="1">IFERROR(__xludf.dummyfunction("""COMPUTED_VALUE"""),"I've done as much as I can")</f>
        <v>I've done as much as I can</v>
      </c>
      <c r="H101" s="6" t="str">
        <f ca="1">IFERROR(__xludf.dummyfunction("""COMPUTED_VALUE"""),"Joining others with similar interests so we can create action together, Setting up locally run projects or campaigns")</f>
        <v>Joining others with similar interests so we can create action together, Setting up locally run projects or campaigns</v>
      </c>
      <c r="I101" s="6" t="str">
        <f ca="1">IFERROR(__xludf.dummyfunction("""COMPUTED_VALUE"""),"Better parking near the shop.")</f>
        <v>Better parking near the shop.</v>
      </c>
      <c r="J101" s="6"/>
      <c r="K101" s="6"/>
      <c r="L101" s="14" t="str">
        <f ca="1">IFERROR(__xludf.dummyfunction("""COMPUTED_VALUE"""),"Over 65")</f>
        <v>Over 65</v>
      </c>
      <c r="M101" s="6" t="str">
        <f ca="1">IFERROR(__xludf.dummyfunction("""COMPUTED_VALUE"""),"DATA COMMENT: respondent answered question three with concern over loss of biodiversity and economic/political instability, but emphasised that these concerns were to a lesser degree than the 3 primary concerns")</f>
        <v>DATA COMMENT: respondent answered question three with concern over loss of biodiversity and economic/political instability, but emphasised that these concerns were to a lesser degree than the 3 primary concerns</v>
      </c>
      <c r="N101" s="6"/>
      <c r="O101" s="6"/>
      <c r="P101" s="6"/>
      <c r="Q101" s="6"/>
      <c r="R101" s="6"/>
      <c r="S101" s="6"/>
      <c r="T101" s="6"/>
      <c r="U101" s="6"/>
      <c r="V101" s="6"/>
      <c r="W101" s="6"/>
      <c r="X101" s="6"/>
      <c r="Y101" s="6"/>
      <c r="Z101" s="6"/>
      <c r="AA101" s="6"/>
      <c r="AB101" s="6"/>
    </row>
    <row r="102" spans="1:28" ht="71.25">
      <c r="A102" s="6" t="s">
        <v>387</v>
      </c>
      <c r="B102" s="13"/>
      <c r="C102" s="6" t="str">
        <f ca="1">IFERROR(__xludf.dummyfunction("""COMPUTED_VALUE"""),"Household")</f>
        <v>Household</v>
      </c>
      <c r="D102" s="14">
        <f ca="1">IFERROR(__xludf.dummyfunction("""COMPUTED_VALUE"""),3)</f>
        <v>3</v>
      </c>
      <c r="E102" s="6" t="str">
        <f ca="1">IFERROR(__xludf.dummyfunction("""COMPUTED_VALUE"""),"Floods and storms, Water shortages, Extreme heat/wildfires")</f>
        <v>Floods and storms, Water shortages, Extreme heat/wildfires</v>
      </c>
      <c r="F102" s="6" t="str">
        <f ca="1">IFERROR(__xludf.dummyfunction("""COMPUTED_VALUE"""),"Nature friendly gardening, Adopted a more climate-friendly diet, Reduced my travel, used lower carbon ways of travelling, Reused or repaired items, Composted or recycled waste, Reduced water use")</f>
        <v>Nature friendly gardening, Adopted a more climate-friendly diet, Reduced my travel, used lower carbon ways of travelling, Reused or repaired items, Composted or recycled waste, Reduced water use</v>
      </c>
      <c r="G102" s="6" t="str">
        <f ca="1">IFERROR(__xludf.dummyfunction("""COMPUTED_VALUE"""),"I believe it's up to those in power to lead, Other: WE DO AS MUCH AS WE CAN")</f>
        <v>I believe it's up to those in power to lead, Other: WE DO AS MUCH AS WE CAN</v>
      </c>
      <c r="H102" s="6" t="str">
        <f ca="1">IFERROR(__xludf.dummyfunction("""COMPUTED_VALUE"""),"None of the above, Other: WE JUST DO OUR BIT")</f>
        <v>None of the above, Other: WE JUST DO OUR BIT</v>
      </c>
      <c r="I102" s="6" t="str">
        <f ca="1">IFERROR(__xludf.dummyfunction("""COMPUTED_VALUE"""),"- slow traffic
- cut out unecessary travel &amp; printing (ie canvassing!!)
- improve bus service
- improve/provide direct milk route
[DATA COMMENT: best interpretation of letters]")</f>
        <v>- slow traffic
- cut out unecessary travel &amp; printing (ie canvassing!!)
- improve bus service
- improve/provide direct milk route
[DATA COMMENT: best interpretation of letters]</v>
      </c>
      <c r="J102" s="6"/>
      <c r="K102" s="6"/>
      <c r="L102" s="14" t="str">
        <f ca="1">IFERROR(__xludf.dummyfunction("""COMPUTED_VALUE"""),"Over 65")</f>
        <v>Over 65</v>
      </c>
      <c r="M102" s="6"/>
      <c r="N102" s="6"/>
      <c r="O102" s="6"/>
      <c r="P102" s="6"/>
      <c r="Q102" s="6"/>
      <c r="R102" s="6"/>
      <c r="S102" s="6"/>
      <c r="T102" s="6"/>
      <c r="U102" s="6"/>
      <c r="V102" s="6"/>
      <c r="W102" s="6"/>
      <c r="X102" s="6"/>
      <c r="Y102" s="6"/>
      <c r="Z102" s="6"/>
      <c r="AA102" s="6"/>
      <c r="AB102" s="6"/>
    </row>
    <row r="103" spans="1:28" ht="57">
      <c r="A103" s="6" t="s">
        <v>387</v>
      </c>
      <c r="B103" s="13"/>
      <c r="C103" s="6" t="str">
        <f ca="1">IFERROR(__xludf.dummyfunction("""COMPUTED_VALUE"""),"Household")</f>
        <v>Household</v>
      </c>
      <c r="D103" s="14">
        <f ca="1">IFERROR(__xludf.dummyfunction("""COMPUTED_VALUE"""),5)</f>
        <v>5</v>
      </c>
      <c r="E103" s="6" t="str">
        <f ca="1">IFERROR(__xludf.dummyfunction("""COMPUTED_VALUE"""),"The impact on my children and grandchildren, Loss of biodiversity, Floods and storms, Water shortages, Extreme heat/wildfires, Higher bills, Impacts of climate change on poorer communities elsewhere in the world, climate migration")</f>
        <v>The impact on my children and grandchildren, Loss of biodiversity, Floods and storms, Water shortages, Extreme heat/wildfires, Higher bills, Impacts of climate change on poorer communities elsewhere in the world, climate migration</v>
      </c>
      <c r="F103" s="6" t="str">
        <f ca="1">IFERROR(__xludf.dummyfunction("""COMPUTED_VALUE"""),"Nature friendly gardening, Adopted a more climate-friendly diet, Reduced my energy use, Reused or repaired items, Composted or recycled waste, Reduced water use, Joined a climate or environmental group, Talked to friends and family about climate change or"&amp;" actions I've taken")</f>
        <v>Nature friendly gardening, Adopted a more climate-friendly diet, Reduced my energy use, Reused or repaired items, Composted or recycled waste, Reduced water use, Joined a climate or environmental group, Talked to friends and family about climate change or actions I've taken</v>
      </c>
      <c r="G103" s="6" t="str">
        <f ca="1">IFERROR(__xludf.dummyfunction("""COMPUTED_VALUE"""),"I don't have the money, I don't have the time, I believe it's up to those in power to lead, I've done as much as I can")</f>
        <v>I don't have the money, I don't have the time, I believe it's up to those in power to lead, I've done as much as I can</v>
      </c>
      <c r="H103" s="6" t="str">
        <f ca="1">IFERROR(__xludf.dummyfunction("""COMPUTED_VALUE"""),"None of the above")</f>
        <v>None of the above</v>
      </c>
      <c r="I103" s="6" t="str">
        <f ca="1">IFERROR(__xludf.dummyfunction("""COMPUTED_VALUE"""),"Reduce traffic [UNCLEAR] village
introduce 20mph speed limit [UNCLEAR] village
Encourage biodiversity. Water re-use. Tree planting.")</f>
        <v>Reduce traffic [UNCLEAR] village
introduce 20mph speed limit [UNCLEAR] village
Encourage biodiversity. Water re-use. Tree planting.</v>
      </c>
      <c r="J103" s="6" t="str">
        <f ca="1">IFERROR(__xludf.dummyfunction("""COMPUTED_VALUE"""),"Twyford Future Climate Group (TFCG)")</f>
        <v>Twyford Future Climate Group (TFCG)</v>
      </c>
      <c r="K103" s="6"/>
      <c r="L103" s="14" t="str">
        <f ca="1">IFERROR(__xludf.dummyfunction("""COMPUTED_VALUE"""),"Over 65")</f>
        <v>Over 65</v>
      </c>
      <c r="M103" s="6"/>
      <c r="N103" s="6"/>
      <c r="O103" s="6"/>
      <c r="P103" s="6"/>
      <c r="Q103" s="6"/>
      <c r="R103" s="6"/>
      <c r="S103" s="6"/>
      <c r="T103" s="6"/>
      <c r="U103" s="6"/>
      <c r="V103" s="6"/>
      <c r="W103" s="6"/>
      <c r="X103" s="6"/>
      <c r="Y103" s="6"/>
      <c r="Z103" s="6"/>
      <c r="AA103" s="6"/>
      <c r="AB103" s="6"/>
    </row>
    <row r="104" spans="1:28" ht="71.25">
      <c r="A104" s="13"/>
      <c r="B104" s="13"/>
      <c r="C104" s="6" t="str">
        <f ca="1">IFERROR(__xludf.dummyfunction("""COMPUTED_VALUE"""),"Individual")</f>
        <v>Individual</v>
      </c>
      <c r="D104" s="14">
        <f ca="1">IFERROR(__xludf.dummyfunction("""COMPUTED_VALUE"""),4)</f>
        <v>4</v>
      </c>
      <c r="E104" s="6" t="str">
        <f ca="1">IFERROR(__xludf.dummyfunction("""COMPUTED_VALUE"""),"The impact on my children and grandchildren, Loss of biodiversity, Floods and storms, Water shortages, Extreme heat/wildfires, Impacts of climate change on poorer communities elsewhere in the world, Climate migration")</f>
        <v>The impact on my children and grandchildren, Loss of biodiversity, Floods and storms, Water shortages, Extreme heat/wildfires, Impacts of climate change on poorer communities elsewhere in the world, Climate migration</v>
      </c>
      <c r="F104" s="6" t="str">
        <f ca="1">IFERROR(__xludf.dummyfunction("""COMPUTED_VALUE"""),"Nature friendly gardening, Adopted a more climate-friendly diet, Reduced my travel, used lower carbon ways of travelling, Reduced my energy use, Installed insulation, Reused or repaired items, Composted or recycled waste, Reduced water use, Talked to frie"&amp;"nds and family about climate change or actions I've taken")</f>
        <v>Nature friendly gardening, Adopted a more climate-friendly diet, Reduced my travel, used lower carbon ways of travelling, Reduced my energy use, Installed insulation, Reused or repaired items, Composted or recycled waste, Reduced water use, Talked to friends and family about climate change or actions I've taken</v>
      </c>
      <c r="G104" s="6" t="str">
        <f ca="1">IFERROR(__xludf.dummyfunction("""COMPUTED_VALUE"""),"I don't have the money, I don't havce the time")</f>
        <v>I don't have the money, I don't havce the time</v>
      </c>
      <c r="H104" s="6" t="str">
        <f ca="1">IFERROR(__xludf.dummyfunction("""COMPUTED_VALUE"""),"Information about what I can do, Joining others with similar interests so we can create action together, Opportunities to talk about my feelings about climate change, Practical tasks or projects")</f>
        <v>Information about what I can do, Joining others with similar interests so we can create action together, Opportunities to talk about my feelings about climate change, Practical tasks or projects</v>
      </c>
      <c r="I104" s="6" t="str">
        <f ca="1">IFERROR(__xludf.dummyfunction("""COMPUTED_VALUE"""),"Pushing the council for better public transport
Continue pressing for a 20mph speed limit.
Car ownership. Families have 2 or 3 cars in the village, usually SUVs which are completely unnecessary - they are not transporting sheep etc. Just status symbols - "&amp;"How does one stop it though!")</f>
        <v>Pushing the council for better public transport
Continue pressing for a 20mph speed limit.
Car ownership. Families have 2 or 3 cars in the village, usually SUVs which are completely unnecessary - they are not transporting sheep etc. Just status symbols - How does one stop it though!</v>
      </c>
      <c r="J104" s="6"/>
      <c r="K104" s="6" t="str">
        <f ca="1">IFERROR(__xludf.dummyfunction("""COMPUTED_VALUE"""),"Q4 - I despair when I listen to folk in the village, who drive enormous cars, talking about their next holiday in the Bahamas!
Or going on a cruise.
I have no idea what to say to them without being confrontational. Do they know there is an environmental e"&amp;"mergency. They don't seem to want to confront the situation.")</f>
        <v>Q4 - I despair when I listen to folk in the village, who drive enormous cars, talking about their next holiday in the Bahamas!
Or going on a cruise.
I have no idea what to say to them without being confrontational. Do they know there is an environmental emergency. They don't seem to want to confront the situation.</v>
      </c>
      <c r="L104" s="14" t="str">
        <f ca="1">IFERROR(__xludf.dummyfunction("""COMPUTED_VALUE"""),"Over 65")</f>
        <v>Over 65</v>
      </c>
      <c r="M104" s="6"/>
      <c r="N104" s="6"/>
      <c r="O104" s="6"/>
      <c r="P104" s="6"/>
      <c r="Q104" s="6"/>
      <c r="R104" s="6"/>
      <c r="S104" s="6"/>
      <c r="T104" s="6"/>
      <c r="U104" s="6"/>
      <c r="V104" s="6"/>
      <c r="W104" s="6"/>
      <c r="X104" s="6"/>
      <c r="Y104" s="6"/>
      <c r="Z104" s="6"/>
      <c r="AA104" s="6"/>
      <c r="AB104" s="6"/>
    </row>
    <row r="105" spans="1:28" ht="14.25">
      <c r="A105" s="13"/>
      <c r="B105" s="13"/>
      <c r="C105" s="6"/>
      <c r="D105" s="14"/>
      <c r="E105" s="6"/>
      <c r="F105" s="6"/>
      <c r="G105" s="6"/>
      <c r="H105" s="6"/>
      <c r="I105" s="6"/>
      <c r="J105" s="6"/>
      <c r="K105" s="6"/>
      <c r="L105" s="14"/>
      <c r="M105" s="6"/>
      <c r="N105" s="6"/>
      <c r="O105" s="6"/>
      <c r="P105" s="6"/>
      <c r="Q105" s="6"/>
      <c r="R105" s="6"/>
      <c r="S105" s="6"/>
      <c r="T105" s="6"/>
      <c r="U105" s="6"/>
      <c r="V105" s="6"/>
      <c r="W105" s="6"/>
      <c r="X105" s="6"/>
      <c r="Y105" s="6"/>
      <c r="Z105" s="6"/>
      <c r="AA105" s="6"/>
      <c r="AB105" s="6"/>
    </row>
    <row r="106" spans="1:28" ht="14.25">
      <c r="A106" s="13"/>
      <c r="B106" s="13"/>
      <c r="C106" s="6"/>
      <c r="D106" s="14"/>
      <c r="E106" s="6"/>
      <c r="F106" s="6"/>
      <c r="G106" s="6"/>
      <c r="H106" s="6"/>
      <c r="I106" s="6"/>
      <c r="J106" s="6"/>
      <c r="K106" s="6"/>
      <c r="L106" s="14"/>
      <c r="M106" s="6"/>
      <c r="N106" s="6"/>
      <c r="O106" s="6"/>
      <c r="P106" s="6"/>
      <c r="Q106" s="6"/>
      <c r="R106" s="6"/>
      <c r="S106" s="6"/>
      <c r="T106" s="6"/>
      <c r="U106" s="6"/>
      <c r="V106" s="6"/>
      <c r="W106" s="6"/>
      <c r="X106" s="6"/>
      <c r="Y106" s="6"/>
      <c r="Z106" s="6"/>
      <c r="AA106" s="6"/>
      <c r="AB106" s="6"/>
    </row>
    <row r="107" spans="1:28" ht="14.25">
      <c r="A107" s="13"/>
      <c r="B107" s="13"/>
      <c r="C107" s="6"/>
      <c r="D107" s="14"/>
      <c r="E107" s="6"/>
      <c r="F107" s="6"/>
      <c r="G107" s="6"/>
      <c r="H107" s="6"/>
      <c r="I107" s="6"/>
      <c r="J107" s="6"/>
      <c r="K107" s="6"/>
      <c r="L107" s="14"/>
      <c r="M107" s="6"/>
      <c r="N107" s="6"/>
      <c r="O107" s="6"/>
      <c r="P107" s="6"/>
      <c r="Q107" s="6"/>
      <c r="R107" s="6"/>
      <c r="S107" s="6"/>
      <c r="T107" s="6"/>
      <c r="U107" s="6"/>
      <c r="V107" s="6"/>
      <c r="W107" s="6"/>
      <c r="X107" s="6"/>
      <c r="Y107" s="6"/>
      <c r="Z107" s="6"/>
      <c r="AA107" s="6"/>
      <c r="AB107" s="6"/>
    </row>
    <row r="108" spans="1:28" ht="14.25">
      <c r="A108" s="13"/>
      <c r="B108" s="13"/>
      <c r="C108" s="6"/>
      <c r="D108" s="14"/>
      <c r="E108" s="6"/>
      <c r="F108" s="6"/>
      <c r="G108" s="6"/>
      <c r="H108" s="6"/>
      <c r="I108" s="6"/>
      <c r="J108" s="6"/>
      <c r="K108" s="6"/>
      <c r="L108" s="14"/>
      <c r="M108" s="6"/>
      <c r="N108" s="6"/>
      <c r="O108" s="6"/>
      <c r="P108" s="6"/>
      <c r="Q108" s="6"/>
      <c r="R108" s="6"/>
      <c r="S108" s="6"/>
      <c r="T108" s="6"/>
      <c r="U108" s="6"/>
      <c r="V108" s="6"/>
      <c r="W108" s="6"/>
      <c r="X108" s="6"/>
      <c r="Y108" s="6"/>
      <c r="Z108" s="6"/>
      <c r="AA108" s="6"/>
      <c r="AB108" s="6"/>
    </row>
    <row r="109" spans="1:28" ht="14.25">
      <c r="A109" s="13"/>
      <c r="B109" s="13"/>
      <c r="C109" s="6"/>
      <c r="D109" s="14"/>
      <c r="E109" s="6"/>
      <c r="F109" s="6"/>
      <c r="G109" s="6"/>
      <c r="H109" s="6"/>
      <c r="I109" s="6"/>
      <c r="J109" s="6"/>
      <c r="K109" s="6"/>
      <c r="L109" s="14"/>
      <c r="M109" s="6"/>
      <c r="N109" s="6"/>
      <c r="O109" s="6"/>
      <c r="P109" s="6"/>
      <c r="Q109" s="6"/>
      <c r="R109" s="6"/>
      <c r="S109" s="6"/>
      <c r="T109" s="6"/>
      <c r="U109" s="6"/>
      <c r="V109" s="6"/>
      <c r="W109" s="6"/>
      <c r="X109" s="6"/>
      <c r="Y109" s="6"/>
      <c r="Z109" s="6"/>
      <c r="AA109" s="6"/>
      <c r="AB109" s="6"/>
    </row>
    <row r="110" spans="1:28" ht="14.25">
      <c r="A110" s="13"/>
      <c r="B110" s="13"/>
      <c r="C110" s="6"/>
      <c r="D110" s="14"/>
      <c r="E110" s="6"/>
      <c r="F110" s="6"/>
      <c r="G110" s="6"/>
      <c r="H110" s="6"/>
      <c r="I110" s="6"/>
      <c r="J110" s="6"/>
      <c r="K110" s="6"/>
      <c r="L110" s="14"/>
      <c r="M110" s="6"/>
      <c r="N110" s="6"/>
      <c r="O110" s="6"/>
      <c r="P110" s="6"/>
      <c r="Q110" s="6"/>
      <c r="R110" s="6"/>
      <c r="S110" s="6"/>
      <c r="T110" s="6"/>
      <c r="U110" s="6"/>
      <c r="V110" s="6"/>
      <c r="W110" s="6"/>
      <c r="X110" s="6"/>
      <c r="Y110" s="6"/>
      <c r="Z110" s="6"/>
      <c r="AA110" s="6"/>
      <c r="AB110" s="6"/>
    </row>
    <row r="111" spans="1:28" ht="14.25">
      <c r="A111" s="13"/>
      <c r="B111" s="13"/>
      <c r="C111" s="6"/>
      <c r="D111" s="14"/>
      <c r="E111" s="6"/>
      <c r="F111" s="6"/>
      <c r="G111" s="6"/>
      <c r="H111" s="6"/>
      <c r="I111" s="6"/>
      <c r="J111" s="6"/>
      <c r="K111" s="6"/>
      <c r="L111" s="14"/>
      <c r="M111" s="6"/>
      <c r="N111" s="6"/>
      <c r="O111" s="6"/>
      <c r="P111" s="6"/>
      <c r="Q111" s="6"/>
      <c r="R111" s="6"/>
      <c r="S111" s="6"/>
      <c r="T111" s="6"/>
      <c r="U111" s="6"/>
      <c r="V111" s="6"/>
      <c r="W111" s="6"/>
      <c r="X111" s="6"/>
      <c r="Y111" s="6"/>
      <c r="Z111" s="6"/>
      <c r="AA111" s="6"/>
      <c r="AB111" s="6"/>
    </row>
    <row r="112" spans="1:28" ht="14.25">
      <c r="A112" s="13"/>
      <c r="B112" s="13"/>
      <c r="C112" s="6"/>
      <c r="D112" s="14"/>
      <c r="E112" s="6"/>
      <c r="F112" s="6"/>
      <c r="G112" s="6"/>
      <c r="H112" s="6"/>
      <c r="I112" s="6"/>
      <c r="J112" s="6"/>
      <c r="K112" s="6"/>
      <c r="L112" s="14"/>
      <c r="M112" s="6"/>
      <c r="N112" s="6"/>
      <c r="O112" s="6"/>
      <c r="P112" s="6"/>
      <c r="Q112" s="6"/>
      <c r="R112" s="6"/>
      <c r="S112" s="6"/>
      <c r="T112" s="6"/>
      <c r="U112" s="6"/>
      <c r="V112" s="6"/>
      <c r="W112" s="6"/>
      <c r="X112" s="6"/>
      <c r="Y112" s="6"/>
      <c r="Z112" s="6"/>
      <c r="AA112" s="6"/>
      <c r="AB112" s="6"/>
    </row>
    <row r="113" spans="1:28" ht="14.25">
      <c r="A113" s="13"/>
      <c r="B113" s="13"/>
      <c r="C113" s="6"/>
      <c r="D113" s="14"/>
      <c r="E113" s="6"/>
      <c r="F113" s="6"/>
      <c r="G113" s="6"/>
      <c r="H113" s="6"/>
      <c r="I113" s="6"/>
      <c r="J113" s="6"/>
      <c r="K113" s="6"/>
      <c r="L113" s="14"/>
      <c r="M113" s="6"/>
      <c r="N113" s="6"/>
      <c r="O113" s="6"/>
      <c r="P113" s="6"/>
      <c r="Q113" s="6"/>
      <c r="R113" s="6"/>
      <c r="S113" s="6"/>
      <c r="T113" s="6"/>
      <c r="U113" s="6"/>
      <c r="V113" s="6"/>
      <c r="W113" s="6"/>
      <c r="X113" s="6"/>
      <c r="Y113" s="6"/>
      <c r="Z113" s="6"/>
      <c r="AA113" s="6"/>
      <c r="AB113" s="6"/>
    </row>
    <row r="114" spans="1:28" ht="14.25">
      <c r="A114" s="13"/>
      <c r="B114" s="13"/>
      <c r="C114" s="6"/>
      <c r="D114" s="14"/>
      <c r="E114" s="6"/>
      <c r="F114" s="6"/>
      <c r="G114" s="6"/>
      <c r="H114" s="6"/>
      <c r="I114" s="6"/>
      <c r="J114" s="6"/>
      <c r="K114" s="6"/>
      <c r="L114" s="14"/>
      <c r="M114" s="6"/>
      <c r="N114" s="6"/>
      <c r="O114" s="6"/>
      <c r="P114" s="6"/>
      <c r="Q114" s="6"/>
      <c r="R114" s="6"/>
      <c r="S114" s="6"/>
      <c r="T114" s="6"/>
      <c r="U114" s="6"/>
      <c r="V114" s="6"/>
      <c r="W114" s="6"/>
      <c r="X114" s="6"/>
      <c r="Y114" s="6"/>
      <c r="Z114" s="6"/>
      <c r="AA114" s="6"/>
      <c r="AB114" s="6"/>
    </row>
    <row r="115" spans="1:28" ht="14.25">
      <c r="A115" s="13"/>
      <c r="B115" s="13"/>
      <c r="C115" s="6"/>
      <c r="D115" s="14"/>
      <c r="E115" s="6"/>
      <c r="F115" s="6"/>
      <c r="G115" s="6"/>
      <c r="H115" s="6"/>
      <c r="I115" s="6"/>
      <c r="J115" s="6"/>
      <c r="K115" s="6"/>
      <c r="L115" s="14"/>
      <c r="M115" s="6"/>
      <c r="N115" s="6"/>
      <c r="O115" s="6"/>
      <c r="P115" s="6"/>
      <c r="Q115" s="6"/>
      <c r="R115" s="6"/>
      <c r="S115" s="6"/>
      <c r="T115" s="6"/>
      <c r="U115" s="6"/>
      <c r="V115" s="6"/>
      <c r="W115" s="6"/>
      <c r="X115" s="6"/>
      <c r="Y115" s="6"/>
      <c r="Z115" s="6"/>
      <c r="AA115" s="6"/>
      <c r="AB115" s="6"/>
    </row>
    <row r="116" spans="1:28" ht="14.25">
      <c r="A116" s="13"/>
      <c r="B116" s="13"/>
      <c r="C116" s="6"/>
      <c r="D116" s="14"/>
      <c r="E116" s="6"/>
      <c r="F116" s="6"/>
      <c r="G116" s="6"/>
      <c r="H116" s="6"/>
      <c r="I116" s="6"/>
      <c r="J116" s="6"/>
      <c r="K116" s="6"/>
      <c r="L116" s="14"/>
      <c r="M116" s="6"/>
      <c r="N116" s="6"/>
      <c r="O116" s="6"/>
      <c r="P116" s="6"/>
      <c r="Q116" s="6"/>
      <c r="R116" s="6"/>
      <c r="S116" s="6"/>
      <c r="T116" s="6"/>
      <c r="U116" s="6"/>
      <c r="V116" s="6"/>
      <c r="W116" s="6"/>
      <c r="X116" s="6"/>
      <c r="Y116" s="6"/>
      <c r="Z116" s="6"/>
      <c r="AA116" s="6"/>
      <c r="AB116" s="6"/>
    </row>
    <row r="117" spans="1:28" ht="14.25">
      <c r="A117" s="13"/>
      <c r="B117" s="13"/>
      <c r="C117" s="6"/>
      <c r="D117" s="14"/>
      <c r="E117" s="6"/>
      <c r="F117" s="6"/>
      <c r="G117" s="6"/>
      <c r="H117" s="6"/>
      <c r="I117" s="6"/>
      <c r="J117" s="6"/>
      <c r="K117" s="6"/>
      <c r="L117" s="14"/>
      <c r="M117" s="6"/>
      <c r="N117" s="6"/>
      <c r="O117" s="6"/>
      <c r="P117" s="6"/>
      <c r="Q117" s="6"/>
      <c r="R117" s="6"/>
      <c r="S117" s="6"/>
      <c r="T117" s="6"/>
      <c r="U117" s="6"/>
      <c r="V117" s="6"/>
      <c r="W117" s="6"/>
      <c r="X117" s="6"/>
      <c r="Y117" s="6"/>
      <c r="Z117" s="6"/>
      <c r="AA117" s="6"/>
      <c r="AB117" s="6"/>
    </row>
    <row r="118" spans="1:28" ht="14.25">
      <c r="A118" s="13"/>
      <c r="B118" s="13"/>
      <c r="C118" s="6"/>
      <c r="D118" s="14"/>
      <c r="E118" s="6"/>
      <c r="F118" s="6"/>
      <c r="G118" s="6"/>
      <c r="H118" s="6"/>
      <c r="I118" s="6"/>
      <c r="J118" s="6"/>
      <c r="K118" s="6"/>
      <c r="L118" s="14"/>
      <c r="M118" s="6"/>
      <c r="N118" s="6"/>
      <c r="O118" s="6"/>
      <c r="P118" s="6"/>
      <c r="Q118" s="6"/>
      <c r="R118" s="6"/>
      <c r="S118" s="6"/>
      <c r="T118" s="6"/>
      <c r="U118" s="6"/>
      <c r="V118" s="6"/>
      <c r="W118" s="6"/>
      <c r="X118" s="6"/>
      <c r="Y118" s="6"/>
      <c r="Z118" s="6"/>
      <c r="AA118" s="6"/>
      <c r="AB118" s="6"/>
    </row>
    <row r="119" spans="1:28" ht="14.25">
      <c r="A119" s="13"/>
      <c r="B119" s="13"/>
      <c r="C119" s="6"/>
      <c r="D119" s="14"/>
      <c r="E119" s="6"/>
      <c r="F119" s="6"/>
      <c r="G119" s="6"/>
      <c r="H119" s="6"/>
      <c r="I119" s="6"/>
      <c r="J119" s="6"/>
      <c r="K119" s="6"/>
      <c r="L119" s="14"/>
      <c r="M119" s="6"/>
      <c r="N119" s="6"/>
      <c r="O119" s="6"/>
      <c r="P119" s="6"/>
      <c r="Q119" s="6"/>
      <c r="R119" s="6"/>
      <c r="S119" s="6"/>
      <c r="T119" s="6"/>
      <c r="U119" s="6"/>
      <c r="V119" s="6"/>
      <c r="W119" s="6"/>
      <c r="X119" s="6"/>
      <c r="Y119" s="6"/>
      <c r="Z119" s="6"/>
      <c r="AA119" s="6"/>
      <c r="AB119" s="6"/>
    </row>
    <row r="120" spans="1:28" ht="14.25">
      <c r="A120" s="13"/>
      <c r="B120" s="13"/>
      <c r="C120" s="6"/>
      <c r="D120" s="14"/>
      <c r="E120" s="6"/>
      <c r="F120" s="6"/>
      <c r="G120" s="6"/>
      <c r="H120" s="6"/>
      <c r="I120" s="6"/>
      <c r="J120" s="6"/>
      <c r="K120" s="6"/>
      <c r="L120" s="14"/>
      <c r="M120" s="6"/>
      <c r="N120" s="6"/>
      <c r="O120" s="6"/>
      <c r="P120" s="6"/>
      <c r="Q120" s="6"/>
      <c r="R120" s="6"/>
      <c r="S120" s="6"/>
      <c r="T120" s="6"/>
      <c r="U120" s="6"/>
      <c r="V120" s="6"/>
      <c r="W120" s="6"/>
      <c r="X120" s="6"/>
      <c r="Y120" s="6"/>
      <c r="Z120" s="6"/>
      <c r="AA120" s="6"/>
      <c r="AB120" s="6"/>
    </row>
    <row r="121" spans="1:28" ht="14.25">
      <c r="A121" s="13"/>
      <c r="B121" s="13"/>
      <c r="C121" s="6"/>
      <c r="D121" s="14"/>
      <c r="E121" s="6"/>
      <c r="F121" s="6"/>
      <c r="G121" s="6"/>
      <c r="H121" s="6"/>
      <c r="I121" s="6"/>
      <c r="J121" s="6"/>
      <c r="K121" s="6"/>
      <c r="L121" s="14"/>
      <c r="M121" s="6"/>
      <c r="N121" s="6"/>
      <c r="O121" s="6"/>
      <c r="P121" s="6"/>
      <c r="Q121" s="6"/>
      <c r="R121" s="6"/>
      <c r="S121" s="6"/>
      <c r="T121" s="6"/>
      <c r="U121" s="6"/>
      <c r="V121" s="6"/>
      <c r="W121" s="6"/>
      <c r="X121" s="6"/>
      <c r="Y121" s="6"/>
      <c r="Z121" s="6"/>
      <c r="AA121" s="6"/>
      <c r="AB121" s="6"/>
    </row>
    <row r="122" spans="1:28" ht="14.25">
      <c r="A122" s="13"/>
      <c r="B122" s="13"/>
      <c r="C122" s="6"/>
      <c r="D122" s="14"/>
      <c r="E122" s="6"/>
      <c r="F122" s="6"/>
      <c r="G122" s="6"/>
      <c r="H122" s="6"/>
      <c r="I122" s="6"/>
      <c r="J122" s="6"/>
      <c r="K122" s="6"/>
      <c r="L122" s="14"/>
      <c r="M122" s="6"/>
      <c r="N122" s="6"/>
      <c r="O122" s="6"/>
      <c r="P122" s="6"/>
      <c r="Q122" s="6"/>
      <c r="R122" s="6"/>
      <c r="S122" s="6"/>
      <c r="T122" s="6"/>
      <c r="U122" s="6"/>
      <c r="V122" s="6"/>
      <c r="W122" s="6"/>
      <c r="X122" s="6"/>
      <c r="Y122" s="6"/>
      <c r="Z122" s="6"/>
      <c r="AA122" s="6"/>
      <c r="AB122" s="6"/>
    </row>
    <row r="123" spans="1:28" ht="14.25">
      <c r="A123" s="13"/>
      <c r="B123" s="13"/>
      <c r="C123" s="6"/>
      <c r="D123" s="14"/>
      <c r="E123" s="6"/>
      <c r="F123" s="6"/>
      <c r="G123" s="6"/>
      <c r="H123" s="6"/>
      <c r="I123" s="6"/>
      <c r="J123" s="6"/>
      <c r="K123" s="6"/>
      <c r="L123" s="14"/>
      <c r="M123" s="6"/>
      <c r="N123" s="6"/>
      <c r="O123" s="6"/>
      <c r="P123" s="6"/>
      <c r="Q123" s="6"/>
      <c r="R123" s="6"/>
      <c r="S123" s="6"/>
      <c r="T123" s="6"/>
      <c r="U123" s="6"/>
      <c r="V123" s="6"/>
      <c r="W123" s="6"/>
      <c r="X123" s="6"/>
      <c r="Y123" s="6"/>
      <c r="Z123" s="6"/>
      <c r="AA123" s="6"/>
      <c r="AB123" s="6"/>
    </row>
    <row r="124" spans="1:28" ht="14.25">
      <c r="A124" s="13"/>
      <c r="B124" s="13"/>
      <c r="C124" s="6"/>
      <c r="D124" s="14"/>
      <c r="E124" s="6"/>
      <c r="F124" s="6"/>
      <c r="G124" s="6"/>
      <c r="H124" s="6"/>
      <c r="I124" s="6"/>
      <c r="J124" s="6"/>
      <c r="K124" s="6"/>
      <c r="L124" s="14"/>
      <c r="M124" s="6"/>
      <c r="N124" s="6"/>
      <c r="O124" s="6"/>
      <c r="P124" s="6"/>
      <c r="Q124" s="6"/>
      <c r="R124" s="6"/>
      <c r="S124" s="6"/>
      <c r="T124" s="6"/>
      <c r="U124" s="6"/>
      <c r="V124" s="6"/>
      <c r="W124" s="6"/>
      <c r="X124" s="6"/>
      <c r="Y124" s="6"/>
      <c r="Z124" s="6"/>
      <c r="AA124" s="6"/>
      <c r="AB124" s="6"/>
    </row>
    <row r="125" spans="1:28" ht="14.25">
      <c r="A125" s="13"/>
      <c r="B125" s="13"/>
      <c r="C125" s="6"/>
      <c r="D125" s="14"/>
      <c r="E125" s="6"/>
      <c r="F125" s="6"/>
      <c r="G125" s="6"/>
      <c r="H125" s="6"/>
      <c r="I125" s="6"/>
      <c r="J125" s="6"/>
      <c r="K125" s="6"/>
      <c r="L125" s="14"/>
      <c r="M125" s="6"/>
      <c r="N125" s="6"/>
      <c r="O125" s="6"/>
      <c r="P125" s="6"/>
      <c r="Q125" s="6"/>
      <c r="R125" s="6"/>
      <c r="S125" s="6"/>
      <c r="T125" s="6"/>
      <c r="U125" s="6"/>
      <c r="V125" s="6"/>
      <c r="W125" s="6"/>
      <c r="X125" s="6"/>
      <c r="Y125" s="6"/>
      <c r="Z125" s="6"/>
      <c r="AA125" s="6"/>
      <c r="AB125" s="6"/>
    </row>
    <row r="126" spans="1:28" ht="14.25">
      <c r="A126" s="13"/>
      <c r="B126" s="13"/>
      <c r="C126" s="6"/>
      <c r="D126" s="14"/>
      <c r="E126" s="6"/>
      <c r="F126" s="6"/>
      <c r="G126" s="6"/>
      <c r="H126" s="6"/>
      <c r="I126" s="6"/>
      <c r="J126" s="6"/>
      <c r="K126" s="6"/>
      <c r="L126" s="14"/>
      <c r="M126" s="6"/>
      <c r="N126" s="6"/>
      <c r="O126" s="6"/>
      <c r="P126" s="6"/>
      <c r="Q126" s="6"/>
      <c r="R126" s="6"/>
      <c r="S126" s="6"/>
      <c r="T126" s="6"/>
      <c r="U126" s="6"/>
      <c r="V126" s="6"/>
      <c r="W126" s="6"/>
      <c r="X126" s="6"/>
      <c r="Y126" s="6"/>
      <c r="Z126" s="6"/>
      <c r="AA126" s="6"/>
      <c r="AB126" s="6"/>
    </row>
    <row r="127" spans="1:28" ht="14.25">
      <c r="A127" s="13"/>
      <c r="B127" s="13"/>
      <c r="C127" s="6"/>
      <c r="D127" s="14"/>
      <c r="E127" s="6"/>
      <c r="F127" s="6"/>
      <c r="G127" s="6"/>
      <c r="H127" s="6"/>
      <c r="I127" s="6"/>
      <c r="J127" s="6"/>
      <c r="K127" s="6"/>
      <c r="L127" s="14"/>
      <c r="M127" s="6"/>
      <c r="N127" s="6"/>
      <c r="O127" s="6"/>
      <c r="P127" s="6"/>
      <c r="Q127" s="6"/>
      <c r="R127" s="6"/>
      <c r="S127" s="6"/>
      <c r="T127" s="6"/>
      <c r="U127" s="6"/>
      <c r="V127" s="6"/>
      <c r="W127" s="6"/>
      <c r="X127" s="6"/>
      <c r="Y127" s="6"/>
      <c r="Z127" s="6"/>
      <c r="AA127" s="6"/>
      <c r="AB127" s="6"/>
    </row>
    <row r="128" spans="1:28" ht="14.25">
      <c r="A128" s="13"/>
      <c r="B128" s="13"/>
      <c r="C128" s="6"/>
      <c r="D128" s="14"/>
      <c r="E128" s="6"/>
      <c r="F128" s="6"/>
      <c r="G128" s="6"/>
      <c r="H128" s="6"/>
      <c r="I128" s="6"/>
      <c r="J128" s="6"/>
      <c r="K128" s="6"/>
      <c r="L128" s="14"/>
      <c r="M128" s="6"/>
      <c r="N128" s="6"/>
      <c r="O128" s="6"/>
      <c r="P128" s="6"/>
      <c r="Q128" s="6"/>
      <c r="R128" s="6"/>
      <c r="S128" s="6"/>
      <c r="T128" s="6"/>
      <c r="U128" s="6"/>
      <c r="V128" s="6"/>
      <c r="W128" s="6"/>
      <c r="X128" s="6"/>
      <c r="Y128" s="6"/>
      <c r="Z128" s="6"/>
      <c r="AA128" s="6"/>
      <c r="AB128" s="6"/>
    </row>
    <row r="129" spans="1:28" ht="14.25">
      <c r="A129" s="13"/>
      <c r="B129" s="13"/>
      <c r="C129" s="6"/>
      <c r="D129" s="14"/>
      <c r="E129" s="6"/>
      <c r="F129" s="6"/>
      <c r="G129" s="6"/>
      <c r="H129" s="6"/>
      <c r="I129" s="6"/>
      <c r="J129" s="6"/>
      <c r="K129" s="6"/>
      <c r="L129" s="14"/>
      <c r="M129" s="6"/>
      <c r="N129" s="6"/>
      <c r="O129" s="6"/>
      <c r="P129" s="6"/>
      <c r="Q129" s="6"/>
      <c r="R129" s="6"/>
      <c r="S129" s="6"/>
      <c r="T129" s="6"/>
      <c r="U129" s="6"/>
      <c r="V129" s="6"/>
      <c r="W129" s="6"/>
      <c r="X129" s="6"/>
      <c r="Y129" s="6"/>
      <c r="Z129" s="6"/>
      <c r="AA129" s="6"/>
      <c r="AB129" s="6"/>
    </row>
    <row r="130" spans="1:28" ht="14.25">
      <c r="A130" s="13"/>
      <c r="B130" s="13"/>
      <c r="C130" s="6"/>
      <c r="D130" s="14"/>
      <c r="E130" s="6"/>
      <c r="F130" s="6"/>
      <c r="G130" s="6"/>
      <c r="H130" s="6"/>
      <c r="I130" s="6"/>
      <c r="J130" s="6"/>
      <c r="K130" s="6"/>
      <c r="L130" s="14"/>
      <c r="M130" s="6"/>
      <c r="N130" s="6"/>
      <c r="O130" s="6"/>
      <c r="P130" s="6"/>
      <c r="Q130" s="6"/>
      <c r="R130" s="6"/>
      <c r="S130" s="6"/>
      <c r="T130" s="6"/>
      <c r="U130" s="6"/>
      <c r="V130" s="6"/>
      <c r="W130" s="6"/>
      <c r="X130" s="6"/>
      <c r="Y130" s="6"/>
      <c r="Z130" s="6"/>
      <c r="AA130" s="6"/>
      <c r="AB130" s="6"/>
    </row>
    <row r="131" spans="1:28" ht="14.25">
      <c r="A131" s="13"/>
      <c r="B131" s="13"/>
      <c r="C131" s="6"/>
      <c r="D131" s="14"/>
      <c r="E131" s="6"/>
      <c r="F131" s="6"/>
      <c r="G131" s="6"/>
      <c r="H131" s="6"/>
      <c r="I131" s="6"/>
      <c r="J131" s="6"/>
      <c r="K131" s="6"/>
      <c r="L131" s="14"/>
      <c r="M131" s="6"/>
      <c r="N131" s="6"/>
      <c r="O131" s="6"/>
      <c r="P131" s="6"/>
      <c r="Q131" s="6"/>
      <c r="R131" s="6"/>
      <c r="S131" s="6"/>
      <c r="T131" s="6"/>
      <c r="U131" s="6"/>
      <c r="V131" s="6"/>
      <c r="W131" s="6"/>
      <c r="X131" s="6"/>
      <c r="Y131" s="6"/>
      <c r="Z131" s="6"/>
      <c r="AA131" s="6"/>
      <c r="AB131" s="6"/>
    </row>
    <row r="132" spans="1:28" ht="14.25">
      <c r="A132" s="13"/>
      <c r="B132" s="13"/>
      <c r="C132" s="6"/>
      <c r="D132" s="14"/>
      <c r="E132" s="6"/>
      <c r="F132" s="6"/>
      <c r="G132" s="6"/>
      <c r="H132" s="6"/>
      <c r="I132" s="6"/>
      <c r="J132" s="6"/>
      <c r="K132" s="6"/>
      <c r="L132" s="14"/>
      <c r="M132" s="6"/>
      <c r="N132" s="6"/>
      <c r="O132" s="6"/>
      <c r="P132" s="6"/>
      <c r="Q132" s="6"/>
      <c r="R132" s="6"/>
      <c r="S132" s="6"/>
      <c r="T132" s="6"/>
      <c r="U132" s="6"/>
      <c r="V132" s="6"/>
      <c r="W132" s="6"/>
      <c r="X132" s="6"/>
      <c r="Y132" s="6"/>
      <c r="Z132" s="6"/>
      <c r="AA132" s="6"/>
      <c r="AB132" s="6"/>
    </row>
    <row r="133" spans="1:28" ht="14.25">
      <c r="A133" s="13"/>
      <c r="B133" s="13"/>
      <c r="C133" s="6"/>
      <c r="D133" s="14"/>
      <c r="E133" s="6"/>
      <c r="F133" s="6"/>
      <c r="G133" s="6"/>
      <c r="H133" s="6"/>
      <c r="I133" s="6"/>
      <c r="J133" s="6"/>
      <c r="K133" s="6"/>
      <c r="L133" s="14"/>
      <c r="M133" s="6"/>
      <c r="N133" s="6"/>
      <c r="O133" s="6"/>
      <c r="P133" s="6"/>
      <c r="Q133" s="6"/>
      <c r="R133" s="6"/>
      <c r="S133" s="6"/>
      <c r="T133" s="6"/>
      <c r="U133" s="6"/>
      <c r="V133" s="6"/>
      <c r="W133" s="6"/>
      <c r="X133" s="6"/>
      <c r="Y133" s="6"/>
      <c r="Z133" s="6"/>
      <c r="AA133" s="6"/>
      <c r="AB133" s="6"/>
    </row>
    <row r="134" spans="1:28" ht="14.25">
      <c r="A134" s="13"/>
      <c r="B134" s="13"/>
      <c r="C134" s="6"/>
      <c r="D134" s="14"/>
      <c r="E134" s="6"/>
      <c r="F134" s="6"/>
      <c r="G134" s="6"/>
      <c r="H134" s="6"/>
      <c r="I134" s="6"/>
      <c r="J134" s="6"/>
      <c r="K134" s="6"/>
      <c r="L134" s="14"/>
      <c r="M134" s="6"/>
      <c r="N134" s="6"/>
      <c r="O134" s="6"/>
      <c r="P134" s="6"/>
      <c r="Q134" s="6"/>
      <c r="R134" s="6"/>
      <c r="S134" s="6"/>
      <c r="T134" s="6"/>
      <c r="U134" s="6"/>
      <c r="V134" s="6"/>
      <c r="W134" s="6"/>
      <c r="X134" s="6"/>
      <c r="Y134" s="6"/>
      <c r="Z134" s="6"/>
      <c r="AA134" s="6"/>
      <c r="AB134" s="6"/>
    </row>
    <row r="135" spans="1:28" ht="14.25">
      <c r="A135" s="13"/>
      <c r="B135" s="13"/>
      <c r="C135" s="6"/>
      <c r="D135" s="14"/>
      <c r="E135" s="6"/>
      <c r="F135" s="6"/>
      <c r="G135" s="6"/>
      <c r="H135" s="6"/>
      <c r="I135" s="6"/>
      <c r="J135" s="6"/>
      <c r="K135" s="6"/>
      <c r="L135" s="14"/>
      <c r="M135" s="6"/>
      <c r="N135" s="6"/>
      <c r="O135" s="6"/>
      <c r="P135" s="6"/>
      <c r="Q135" s="6"/>
      <c r="R135" s="6"/>
      <c r="S135" s="6"/>
      <c r="T135" s="6"/>
      <c r="U135" s="6"/>
      <c r="V135" s="6"/>
      <c r="W135" s="6"/>
      <c r="X135" s="6"/>
      <c r="Y135" s="6"/>
      <c r="Z135" s="6"/>
      <c r="AA135" s="6"/>
      <c r="AB135" s="6"/>
    </row>
    <row r="136" spans="1:28" ht="14.25">
      <c r="A136" s="13"/>
      <c r="B136" s="13"/>
      <c r="C136" s="6"/>
      <c r="D136" s="14"/>
      <c r="E136" s="6"/>
      <c r="F136" s="6"/>
      <c r="G136" s="6"/>
      <c r="H136" s="6"/>
      <c r="I136" s="6"/>
      <c r="J136" s="6"/>
      <c r="K136" s="6"/>
      <c r="L136" s="14"/>
      <c r="M136" s="6"/>
      <c r="N136" s="6"/>
      <c r="O136" s="6"/>
      <c r="P136" s="6"/>
      <c r="Q136" s="6"/>
      <c r="R136" s="6"/>
      <c r="S136" s="6"/>
      <c r="T136" s="6"/>
      <c r="U136" s="6"/>
      <c r="V136" s="6"/>
      <c r="W136" s="6"/>
      <c r="X136" s="6"/>
      <c r="Y136" s="6"/>
      <c r="Z136" s="6"/>
      <c r="AA136" s="6"/>
      <c r="AB136" s="6"/>
    </row>
    <row r="137" spans="1:28" ht="14.25">
      <c r="A137" s="13"/>
      <c r="B137" s="13"/>
      <c r="C137" s="6"/>
      <c r="D137" s="14"/>
      <c r="E137" s="6"/>
      <c r="F137" s="6"/>
      <c r="G137" s="6"/>
      <c r="H137" s="6"/>
      <c r="I137" s="6"/>
      <c r="J137" s="6"/>
      <c r="K137" s="6"/>
      <c r="L137" s="14"/>
      <c r="M137" s="6"/>
      <c r="N137" s="6"/>
      <c r="O137" s="6"/>
      <c r="P137" s="6"/>
      <c r="Q137" s="6"/>
      <c r="R137" s="6"/>
      <c r="S137" s="6"/>
      <c r="T137" s="6"/>
      <c r="U137" s="6"/>
      <c r="V137" s="6"/>
      <c r="W137" s="6"/>
      <c r="X137" s="6"/>
      <c r="Y137" s="6"/>
      <c r="Z137" s="6"/>
      <c r="AA137" s="6"/>
      <c r="AB137" s="6"/>
    </row>
    <row r="138" spans="1:28" ht="14.25">
      <c r="A138" s="13"/>
      <c r="B138" s="13"/>
      <c r="C138" s="6"/>
      <c r="D138" s="14"/>
      <c r="E138" s="6"/>
      <c r="F138" s="6"/>
      <c r="G138" s="6"/>
      <c r="H138" s="6"/>
      <c r="I138" s="6"/>
      <c r="J138" s="6"/>
      <c r="K138" s="6"/>
      <c r="L138" s="14"/>
      <c r="M138" s="6"/>
      <c r="N138" s="6"/>
      <c r="O138" s="6"/>
      <c r="P138" s="6"/>
      <c r="Q138" s="6"/>
      <c r="R138" s="6"/>
      <c r="S138" s="6"/>
      <c r="T138" s="6"/>
      <c r="U138" s="6"/>
      <c r="V138" s="6"/>
      <c r="W138" s="6"/>
      <c r="X138" s="6"/>
      <c r="Y138" s="6"/>
      <c r="Z138" s="6"/>
      <c r="AA138" s="6"/>
      <c r="AB138" s="6"/>
    </row>
    <row r="139" spans="1:28" ht="14.25">
      <c r="A139" s="13"/>
      <c r="B139" s="13"/>
      <c r="C139" s="6"/>
      <c r="D139" s="14"/>
      <c r="E139" s="6"/>
      <c r="F139" s="6"/>
      <c r="G139" s="6"/>
      <c r="H139" s="6"/>
      <c r="I139" s="6"/>
      <c r="J139" s="6"/>
      <c r="K139" s="6"/>
      <c r="L139" s="14"/>
      <c r="M139" s="6"/>
      <c r="N139" s="6"/>
      <c r="O139" s="6"/>
      <c r="P139" s="6"/>
      <c r="Q139" s="6"/>
      <c r="R139" s="6"/>
      <c r="S139" s="6"/>
      <c r="T139" s="6"/>
      <c r="U139" s="6"/>
      <c r="V139" s="6"/>
      <c r="W139" s="6"/>
      <c r="X139" s="6"/>
      <c r="Y139" s="6"/>
      <c r="Z139" s="6"/>
      <c r="AA139" s="6"/>
      <c r="AB139" s="6"/>
    </row>
    <row r="140" spans="1:28" ht="14.25">
      <c r="A140" s="13"/>
      <c r="B140" s="13"/>
      <c r="C140" s="6"/>
      <c r="D140" s="14"/>
      <c r="E140" s="6"/>
      <c r="F140" s="6"/>
      <c r="G140" s="6"/>
      <c r="H140" s="6"/>
      <c r="I140" s="6"/>
      <c r="J140" s="6"/>
      <c r="K140" s="6"/>
      <c r="L140" s="14"/>
      <c r="M140" s="6"/>
      <c r="N140" s="6"/>
      <c r="O140" s="6"/>
      <c r="P140" s="6"/>
      <c r="Q140" s="6"/>
      <c r="R140" s="6"/>
      <c r="S140" s="6"/>
      <c r="T140" s="6"/>
      <c r="U140" s="6"/>
      <c r="V140" s="6"/>
      <c r="W140" s="6"/>
      <c r="X140" s="6"/>
      <c r="Y140" s="6"/>
      <c r="Z140" s="6"/>
      <c r="AA140" s="6"/>
      <c r="AB140" s="6"/>
    </row>
    <row r="141" spans="1:28" ht="14.25">
      <c r="A141" s="13"/>
      <c r="B141" s="13"/>
      <c r="C141" s="6"/>
      <c r="D141" s="14"/>
      <c r="E141" s="6"/>
      <c r="F141" s="6"/>
      <c r="G141" s="6"/>
      <c r="H141" s="6"/>
      <c r="I141" s="6"/>
      <c r="J141" s="6"/>
      <c r="K141" s="6"/>
      <c r="L141" s="14"/>
      <c r="M141" s="6"/>
      <c r="N141" s="6"/>
      <c r="O141" s="6"/>
      <c r="P141" s="6"/>
      <c r="Q141" s="6"/>
      <c r="R141" s="6"/>
      <c r="S141" s="6"/>
      <c r="T141" s="6"/>
      <c r="U141" s="6"/>
      <c r="V141" s="6"/>
      <c r="W141" s="6"/>
      <c r="X141" s="6"/>
      <c r="Y141" s="6"/>
      <c r="Z141" s="6"/>
      <c r="AA141" s="6"/>
      <c r="AB141" s="6"/>
    </row>
    <row r="142" spans="1:28" ht="14.25">
      <c r="A142" s="13"/>
      <c r="B142" s="13"/>
      <c r="C142" s="6"/>
      <c r="D142" s="14"/>
      <c r="E142" s="6"/>
      <c r="F142" s="6"/>
      <c r="G142" s="6"/>
      <c r="H142" s="6"/>
      <c r="I142" s="6"/>
      <c r="J142" s="6"/>
      <c r="K142" s="6"/>
      <c r="L142" s="14"/>
      <c r="M142" s="6"/>
      <c r="N142" s="6"/>
      <c r="O142" s="6"/>
      <c r="P142" s="6"/>
      <c r="Q142" s="6"/>
      <c r="R142" s="6"/>
      <c r="S142" s="6"/>
      <c r="T142" s="6"/>
      <c r="U142" s="6"/>
      <c r="V142" s="6"/>
      <c r="W142" s="6"/>
      <c r="X142" s="6"/>
      <c r="Y142" s="6"/>
      <c r="Z142" s="6"/>
      <c r="AA142" s="6"/>
      <c r="AB142" s="6"/>
    </row>
    <row r="143" spans="1:28" ht="14.25">
      <c r="A143" s="13"/>
      <c r="B143" s="13"/>
      <c r="C143" s="6"/>
      <c r="D143" s="14"/>
      <c r="E143" s="6"/>
      <c r="F143" s="6"/>
      <c r="G143" s="6"/>
      <c r="H143" s="6"/>
      <c r="I143" s="6"/>
      <c r="J143" s="6"/>
      <c r="K143" s="6"/>
      <c r="L143" s="14"/>
      <c r="M143" s="6"/>
      <c r="N143" s="6"/>
      <c r="O143" s="6"/>
      <c r="P143" s="6"/>
      <c r="Q143" s="6"/>
      <c r="R143" s="6"/>
      <c r="S143" s="6"/>
      <c r="T143" s="6"/>
      <c r="U143" s="6"/>
      <c r="V143" s="6"/>
      <c r="W143" s="6"/>
      <c r="X143" s="6"/>
      <c r="Y143" s="6"/>
      <c r="Z143" s="6"/>
      <c r="AA143" s="6"/>
      <c r="AB143" s="6"/>
    </row>
    <row r="144" spans="1:28" ht="14.25">
      <c r="A144" s="13"/>
      <c r="B144" s="13"/>
      <c r="C144" s="6"/>
      <c r="D144" s="14"/>
      <c r="E144" s="6"/>
      <c r="F144" s="6"/>
      <c r="G144" s="6"/>
      <c r="H144" s="6"/>
      <c r="I144" s="6"/>
      <c r="J144" s="6"/>
      <c r="K144" s="6"/>
      <c r="L144" s="14"/>
      <c r="M144" s="6"/>
      <c r="N144" s="6"/>
      <c r="O144" s="6"/>
      <c r="P144" s="6"/>
      <c r="Q144" s="6"/>
      <c r="R144" s="6"/>
      <c r="S144" s="6"/>
      <c r="T144" s="6"/>
      <c r="U144" s="6"/>
      <c r="V144" s="6"/>
      <c r="W144" s="6"/>
      <c r="X144" s="6"/>
      <c r="Y144" s="6"/>
      <c r="Z144" s="6"/>
      <c r="AA144" s="6"/>
      <c r="AB144" s="6"/>
    </row>
    <row r="145" spans="1:28" ht="14.25">
      <c r="A145" s="13"/>
      <c r="B145" s="13"/>
      <c r="C145" s="6"/>
      <c r="D145" s="14"/>
      <c r="E145" s="6"/>
      <c r="F145" s="6"/>
      <c r="G145" s="6"/>
      <c r="H145" s="6"/>
      <c r="I145" s="6"/>
      <c r="J145" s="6"/>
      <c r="K145" s="6"/>
      <c r="L145" s="14"/>
      <c r="M145" s="6"/>
      <c r="N145" s="6"/>
      <c r="O145" s="6"/>
      <c r="P145" s="6"/>
      <c r="Q145" s="6"/>
      <c r="R145" s="6"/>
      <c r="S145" s="6"/>
      <c r="T145" s="6"/>
      <c r="U145" s="6"/>
      <c r="V145" s="6"/>
      <c r="W145" s="6"/>
      <c r="X145" s="6"/>
      <c r="Y145" s="6"/>
      <c r="Z145" s="6"/>
      <c r="AA145" s="6"/>
      <c r="AB145" s="6"/>
    </row>
    <row r="146" spans="1:28" ht="14.25">
      <c r="A146" s="13"/>
      <c r="B146" s="13"/>
      <c r="C146" s="6"/>
      <c r="D146" s="14"/>
      <c r="E146" s="6"/>
      <c r="F146" s="6"/>
      <c r="G146" s="6"/>
      <c r="H146" s="6"/>
      <c r="I146" s="6"/>
      <c r="J146" s="6"/>
      <c r="K146" s="6"/>
      <c r="L146" s="14"/>
      <c r="M146" s="6"/>
      <c r="N146" s="6"/>
      <c r="O146" s="6"/>
      <c r="P146" s="6"/>
      <c r="Q146" s="6"/>
      <c r="R146" s="6"/>
      <c r="S146" s="6"/>
      <c r="T146" s="6"/>
      <c r="U146" s="6"/>
      <c r="V146" s="6"/>
      <c r="W146" s="6"/>
      <c r="X146" s="6"/>
      <c r="Y146" s="6"/>
      <c r="Z146" s="6"/>
      <c r="AA146" s="6"/>
      <c r="AB146" s="6"/>
    </row>
    <row r="147" spans="1:28" ht="14.25">
      <c r="A147" s="13"/>
      <c r="B147" s="13"/>
      <c r="C147" s="6"/>
      <c r="D147" s="14"/>
      <c r="E147" s="6"/>
      <c r="F147" s="6"/>
      <c r="G147" s="6"/>
      <c r="H147" s="6"/>
      <c r="I147" s="6"/>
      <c r="J147" s="6"/>
      <c r="K147" s="6"/>
      <c r="L147" s="14"/>
      <c r="M147" s="6"/>
      <c r="N147" s="6"/>
      <c r="O147" s="6"/>
      <c r="P147" s="6"/>
      <c r="Q147" s="6"/>
      <c r="R147" s="6"/>
      <c r="S147" s="6"/>
      <c r="T147" s="6"/>
      <c r="U147" s="6"/>
      <c r="V147" s="6"/>
      <c r="W147" s="6"/>
      <c r="X147" s="6"/>
      <c r="Y147" s="6"/>
      <c r="Z147" s="6"/>
      <c r="AA147" s="6"/>
      <c r="AB147" s="6"/>
    </row>
    <row r="148" spans="1:28" ht="14.25">
      <c r="A148" s="13"/>
      <c r="B148" s="13"/>
      <c r="C148" s="6"/>
      <c r="D148" s="14"/>
      <c r="E148" s="6"/>
      <c r="F148" s="6"/>
      <c r="G148" s="6"/>
      <c r="H148" s="6"/>
      <c r="I148" s="6"/>
      <c r="J148" s="6"/>
      <c r="K148" s="6"/>
      <c r="L148" s="14"/>
      <c r="M148" s="6"/>
      <c r="N148" s="6"/>
      <c r="O148" s="6"/>
      <c r="P148" s="6"/>
      <c r="Q148" s="6"/>
      <c r="R148" s="6"/>
      <c r="S148" s="6"/>
      <c r="T148" s="6"/>
      <c r="U148" s="6"/>
      <c r="V148" s="6"/>
      <c r="W148" s="6"/>
      <c r="X148" s="6"/>
      <c r="Y148" s="6"/>
      <c r="Z148" s="6"/>
      <c r="AA148" s="6"/>
      <c r="AB148" s="6"/>
    </row>
    <row r="149" spans="1:28" ht="14.25">
      <c r="A149" s="13"/>
      <c r="B149" s="13"/>
      <c r="C149" s="6"/>
      <c r="D149" s="14"/>
      <c r="E149" s="6"/>
      <c r="F149" s="6"/>
      <c r="G149" s="6"/>
      <c r="H149" s="6"/>
      <c r="I149" s="6"/>
      <c r="J149" s="6"/>
      <c r="K149" s="6"/>
      <c r="L149" s="14"/>
      <c r="M149" s="6"/>
      <c r="N149" s="6"/>
      <c r="O149" s="6"/>
      <c r="P149" s="6"/>
      <c r="Q149" s="6"/>
      <c r="R149" s="6"/>
      <c r="S149" s="6"/>
      <c r="T149" s="6"/>
      <c r="U149" s="6"/>
      <c r="V149" s="6"/>
      <c r="W149" s="6"/>
      <c r="X149" s="6"/>
      <c r="Y149" s="6"/>
      <c r="Z149" s="6"/>
      <c r="AA149" s="6"/>
      <c r="AB149" s="6"/>
    </row>
    <row r="150" spans="1:28" ht="14.25">
      <c r="A150" s="13"/>
      <c r="B150" s="13"/>
      <c r="C150" s="6"/>
      <c r="D150" s="14"/>
      <c r="E150" s="6"/>
      <c r="F150" s="6"/>
      <c r="G150" s="6"/>
      <c r="H150" s="6"/>
      <c r="I150" s="6"/>
      <c r="J150" s="6"/>
      <c r="K150" s="6"/>
      <c r="L150" s="14"/>
      <c r="M150" s="6"/>
      <c r="N150" s="6"/>
      <c r="O150" s="6"/>
      <c r="P150" s="6"/>
      <c r="Q150" s="6"/>
      <c r="R150" s="6"/>
      <c r="S150" s="6"/>
      <c r="T150" s="6"/>
      <c r="U150" s="6"/>
      <c r="V150" s="6"/>
      <c r="W150" s="6"/>
      <c r="X150" s="6"/>
      <c r="Y150" s="6"/>
      <c r="Z150" s="6"/>
      <c r="AA150" s="6"/>
      <c r="AB150" s="6"/>
    </row>
  </sheetData>
  <pageMargins left="0.74803149606299213" right="0.74803149606299213" top="1.3775590551181103" bottom="1.3775590551181103" header="0.98385826771653528" footer="0.98385826771653528"/>
  <pageSetup paperSize="0" fitToWidth="0" fitToHeight="0" orientation="portrait" horizontalDpi="0" verticalDpi="0" copies="0"/>
  <headerFooter alignWithMargins="0"/>
  <tableParts count="1">
    <tablePart r:id="rId1"/>
  </tablePart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0FA6764-308F-4CD4-97F4-E8D222A6DCB3}">
  <dimension ref="B2:XFD96"/>
  <sheetViews>
    <sheetView workbookViewId="0"/>
  </sheetViews>
  <sheetFormatPr defaultRowHeight="15.75" customHeight="1"/>
  <cols>
    <col min="1" max="1024" width="13.42578125" style="3" customWidth="1"/>
  </cols>
  <sheetData>
    <row r="2" spans="2:3" ht="14.25">
      <c r="B2" s="17" t="s">
        <v>389</v>
      </c>
    </row>
    <row r="3" spans="2:3" ht="14.25">
      <c r="B3" s="17" t="s">
        <v>390</v>
      </c>
      <c r="C3" s="17" t="s">
        <v>391</v>
      </c>
    </row>
    <row r="4" spans="2:3" ht="14.25">
      <c r="B4" s="17" t="s">
        <v>27</v>
      </c>
      <c r="C4" s="18">
        <f ca="1">COUNTIF('Responses Table'!C2:C1006,"Individual")</f>
        <v>49</v>
      </c>
    </row>
    <row r="5" spans="2:3" ht="14.25">
      <c r="B5" s="17" t="s">
        <v>35</v>
      </c>
      <c r="C5" s="18">
        <f ca="1">COUNTIF('Responses Table'!C2:C1006,"Household")</f>
        <v>45</v>
      </c>
    </row>
    <row r="6" spans="2:3" ht="14.25">
      <c r="B6" s="17" t="s">
        <v>392</v>
      </c>
      <c r="C6" s="18">
        <f ca="1">COUNTIF('Responses Table'!C2:C1006,"Business")</f>
        <v>0</v>
      </c>
    </row>
    <row r="7" spans="2:3" ht="14.25">
      <c r="B7" s="17" t="s">
        <v>393</v>
      </c>
      <c r="C7" s="18">
        <f ca="1">COUNTIF('Responses Table'!C2:C1006,"Individual or household")</f>
        <v>2</v>
      </c>
    </row>
    <row r="8" spans="2:3" ht="14.25">
      <c r="B8" s="17" t="s">
        <v>394</v>
      </c>
      <c r="C8" s="18">
        <f ca="1">SUM(C4:C7)</f>
        <v>96</v>
      </c>
    </row>
    <row r="10" spans="2:3" ht="14.25">
      <c r="B10" s="17" t="s">
        <v>395</v>
      </c>
      <c r="C10" s="17" t="s">
        <v>5</v>
      </c>
    </row>
    <row r="11" spans="2:3" ht="14.25">
      <c r="B11" s="17" t="s">
        <v>396</v>
      </c>
      <c r="C11" s="17" t="s">
        <v>391</v>
      </c>
    </row>
    <row r="12" spans="2:3" ht="14.25">
      <c r="B12" s="17">
        <v>0</v>
      </c>
      <c r="C12" s="18">
        <f ca="1">COUNTIF('Responses Table'!D2:D1006,"0")</f>
        <v>1</v>
      </c>
    </row>
    <row r="13" spans="2:3" ht="14.25">
      <c r="B13" s="17">
        <v>1</v>
      </c>
      <c r="C13" s="18">
        <f ca="1">COUNTIF('Responses Table'!D2:D1006,"1")</f>
        <v>1</v>
      </c>
    </row>
    <row r="14" spans="2:3" ht="14.25">
      <c r="B14" s="17">
        <v>2</v>
      </c>
      <c r="C14" s="18">
        <f ca="1">COUNTIF('Responses Table'!D2:D1006,"2")</f>
        <v>1</v>
      </c>
    </row>
    <row r="15" spans="2:3" ht="14.25">
      <c r="B15" s="17">
        <v>3</v>
      </c>
      <c r="C15" s="18">
        <f ca="1">COUNTIF('Responses Table'!D2:D1006,"3")</f>
        <v>12</v>
      </c>
    </row>
    <row r="16" spans="2:3" ht="14.25">
      <c r="B16" s="17">
        <v>4</v>
      </c>
      <c r="C16" s="18">
        <f ca="1">COUNTIF('Responses Table'!D2:D1006,"4")</f>
        <v>30</v>
      </c>
    </row>
    <row r="17" spans="2:5" ht="14.25">
      <c r="B17" s="17">
        <v>5</v>
      </c>
      <c r="C17" s="18">
        <f ca="1">COUNTIF('Responses Table'!D2:D1006,"5")</f>
        <v>51</v>
      </c>
    </row>
    <row r="21" spans="2:5" ht="14.25">
      <c r="B21" s="17" t="s">
        <v>397</v>
      </c>
      <c r="C21" s="17" t="s">
        <v>398</v>
      </c>
    </row>
    <row r="22" spans="2:5" ht="14.25">
      <c r="B22" s="17" t="s">
        <v>399</v>
      </c>
      <c r="C22" s="17" t="s">
        <v>391</v>
      </c>
    </row>
    <row r="23" spans="2:5" ht="14.25">
      <c r="B23" s="17" t="s">
        <v>400</v>
      </c>
      <c r="C23" s="18">
        <f ca="1">COUNTIF('Responses Table'!E2:E1006,"*The impact on my children and grandchildren*")</f>
        <v>70</v>
      </c>
      <c r="E23" s="19" t="s">
        <v>401</v>
      </c>
    </row>
    <row r="24" spans="2:5" ht="14.25">
      <c r="B24" s="17" t="s">
        <v>402</v>
      </c>
      <c r="C24" s="18">
        <f ca="1">COUNTIF('Responses Table'!E2:E1006,"*Loss of biodiversity*")</f>
        <v>76</v>
      </c>
    </row>
    <row r="25" spans="2:5" ht="14.25">
      <c r="B25" s="17" t="s">
        <v>403</v>
      </c>
      <c r="C25" s="18">
        <f ca="1">COUNTIF('Responses Table'!E2:E1006,"*Floods and storms*")</f>
        <v>71</v>
      </c>
    </row>
    <row r="26" spans="2:5" ht="14.25">
      <c r="B26" s="17" t="s">
        <v>241</v>
      </c>
      <c r="C26" s="18">
        <f ca="1">COUNTIF('Responses Table'!E2:E1006,"*Water shortages*")</f>
        <v>63</v>
      </c>
    </row>
    <row r="27" spans="2:5" ht="14.25">
      <c r="B27" s="17" t="s">
        <v>404</v>
      </c>
      <c r="C27" s="18">
        <f ca="1">COUNTIF('Responses Table'!E2:E1006,"*Extreme heat/wildfires*")</f>
        <v>59</v>
      </c>
    </row>
    <row r="28" spans="2:5" ht="14.25">
      <c r="B28" s="17" t="s">
        <v>358</v>
      </c>
      <c r="C28" s="18">
        <f ca="1">COUNTIF('Responses Table'!E2:E1006,"*Higher bills*")</f>
        <v>49</v>
      </c>
    </row>
    <row r="29" spans="2:5" ht="14.25">
      <c r="B29" s="17" t="s">
        <v>273</v>
      </c>
      <c r="C29" s="18">
        <f ca="1">COUNTIF('Responses Table'!E2:E1006,"*Economic/political instability*")</f>
        <v>51</v>
      </c>
    </row>
    <row r="30" spans="2:5" ht="14.25">
      <c r="B30" s="17" t="s">
        <v>405</v>
      </c>
      <c r="C30" s="18">
        <f ca="1">COUNTIF('Responses Table'!E2:E1006,"*Impacts of climate change on poorer communities elsewhere in the world*")</f>
        <v>61</v>
      </c>
    </row>
    <row r="31" spans="2:5" ht="14.25">
      <c r="B31" s="17" t="s">
        <v>406</v>
      </c>
      <c r="C31" s="18">
        <f ca="1">COUNTIF('Responses Table'!E2:E1006,"*Climate migration*")</f>
        <v>34</v>
      </c>
    </row>
    <row r="32" spans="2:5" ht="14.25">
      <c r="B32" s="17"/>
    </row>
    <row r="37" spans="2:3" ht="14.25">
      <c r="B37" s="17" t="s">
        <v>407</v>
      </c>
      <c r="C37" s="17" t="s">
        <v>408</v>
      </c>
    </row>
    <row r="38" spans="2:3" ht="14.25">
      <c r="B38" s="17" t="s">
        <v>409</v>
      </c>
      <c r="C38" s="17" t="s">
        <v>391</v>
      </c>
    </row>
    <row r="39" spans="2:3" ht="14.25">
      <c r="B39" s="17" t="s">
        <v>410</v>
      </c>
      <c r="C39" s="18">
        <f ca="1">COUNTIF('Responses Table'!F2:F1006,"*Nature friendly gardening*")</f>
        <v>69</v>
      </c>
    </row>
    <row r="40" spans="2:3" ht="14.25">
      <c r="B40" s="17" t="s">
        <v>411</v>
      </c>
      <c r="C40" s="18">
        <f ca="1">COUNTIF('Responses Table'!F2:F1006,"*Adopted a more climate-friendly diet*")</f>
        <v>62</v>
      </c>
    </row>
    <row r="41" spans="2:3" ht="14.25">
      <c r="B41" s="17" t="s">
        <v>412</v>
      </c>
      <c r="C41" s="18">
        <f ca="1">COUNTIF('Responses Table'!F2:F1006,"*Reduced my travel*")</f>
        <v>46</v>
      </c>
    </row>
    <row r="42" spans="2:3" ht="14.25">
      <c r="B42" s="17" t="s">
        <v>413</v>
      </c>
      <c r="C42" s="18">
        <f ca="1">COUNTIF('Responses Table'!F2:F1006,"*Used lower carbon ways of travelling*")</f>
        <v>51</v>
      </c>
    </row>
    <row r="43" spans="2:3" ht="14.25">
      <c r="B43" s="17" t="s">
        <v>414</v>
      </c>
      <c r="C43" s="18">
        <f ca="1">COUNTIF('Responses Table'!F2:F1006,"*Invested in an electric/hybrid car*")</f>
        <v>27</v>
      </c>
    </row>
    <row r="44" spans="2:3" ht="14.25">
      <c r="B44" s="17" t="s">
        <v>415</v>
      </c>
      <c r="C44" s="18">
        <f ca="1">COUNTIF('Responses Table'!F2:F1006,"*Reduced my energy use*")</f>
        <v>47</v>
      </c>
    </row>
    <row r="45" spans="2:3" ht="14.25">
      <c r="B45" s="17" t="s">
        <v>416</v>
      </c>
      <c r="C45" s="18">
        <f ca="1">COUNTIF('Responses Table'!F2:F1006,"*Installed insulation*")</f>
        <v>40</v>
      </c>
    </row>
    <row r="46" spans="2:3" ht="14.25">
      <c r="B46" s="17" t="s">
        <v>417</v>
      </c>
      <c r="C46" s="18">
        <f ca="1">COUNTIF('Responses Table'!F2:F1006,"*Installed a greener heating system*")</f>
        <v>12</v>
      </c>
    </row>
    <row r="47" spans="2:3" ht="14.25">
      <c r="B47" s="17" t="s">
        <v>418</v>
      </c>
      <c r="C47" s="18">
        <f ca="1">COUNTIF('Responses Table'!F2:F1006,"*Hired or borrowed items instead of buying*")</f>
        <v>32</v>
      </c>
    </row>
    <row r="48" spans="2:3" ht="14.25">
      <c r="B48" s="17" t="s">
        <v>419</v>
      </c>
      <c r="C48" s="18">
        <f ca="1">COUNTIF('Responses Table'!F2:F1006,"*Reused or repaired items*")</f>
        <v>73</v>
      </c>
    </row>
    <row r="49" spans="2:5" ht="14.25">
      <c r="B49" s="17" t="s">
        <v>76</v>
      </c>
      <c r="C49" s="18">
        <f ca="1">COUNTIF('Responses Table'!F2:F1006,"*Composted or recycled waste*")</f>
        <v>86</v>
      </c>
    </row>
    <row r="50" spans="2:5" ht="14.25">
      <c r="B50" s="17" t="s">
        <v>420</v>
      </c>
      <c r="C50" s="18">
        <f ca="1">COUNTIF('Responses Table'!F2:F1006,"*Reduced flood risk by replacing solid surfaces with permeable surfaces*")</f>
        <v>10</v>
      </c>
    </row>
    <row r="51" spans="2:5" ht="14.25">
      <c r="B51" s="17" t="s">
        <v>421</v>
      </c>
      <c r="C51" s="18">
        <f ca="1">COUNTIF('Responses Table'!F2:F1006,"*Reduced water use*")</f>
        <v>62</v>
      </c>
    </row>
    <row r="52" spans="2:5" ht="14.25">
      <c r="B52" s="17" t="s">
        <v>422</v>
      </c>
      <c r="C52" s="18">
        <f ca="1">COUNTIF('Responses Table'!F2:F1006,"*Reduced heat risk*")</f>
        <v>14</v>
      </c>
    </row>
    <row r="53" spans="2:5" ht="14.25">
      <c r="B53" s="17" t="s">
        <v>423</v>
      </c>
      <c r="C53" s="18">
        <f ca="1">COUNTIF('Responses Table'!F2:F1006,"*Moved my money to sustainable banks or invested in sustainable funds*")</f>
        <v>13</v>
      </c>
    </row>
    <row r="54" spans="2:5" ht="14.25">
      <c r="B54" s="17" t="s">
        <v>424</v>
      </c>
      <c r="C54" s="18">
        <f ca="1">COUNTIF('Responses Table'!F2:F1006,"*Taken political action*")</f>
        <v>23</v>
      </c>
    </row>
    <row r="55" spans="2:5" ht="14.25">
      <c r="B55" s="17" t="s">
        <v>425</v>
      </c>
      <c r="C55" s="18">
        <f ca="1">COUNTIF('Responses Table'!F2:F1006,"*Joined a climate or environmental group*")</f>
        <v>23</v>
      </c>
    </row>
    <row r="56" spans="2:5" ht="14.25">
      <c r="B56" s="17" t="s">
        <v>426</v>
      </c>
      <c r="C56" s="18">
        <f ca="1">COUNTIF('Responses Table'!F2:F1006,"*Talked to friends and family*")</f>
        <v>40</v>
      </c>
    </row>
    <row r="57" spans="2:5" ht="14.25">
      <c r="B57" s="17" t="s">
        <v>77</v>
      </c>
      <c r="C57" s="18">
        <f ca="1">COUNTIF('Responses Table'!F2:F1006,"*None of the above*")</f>
        <v>0</v>
      </c>
      <c r="E57" s="19" t="s">
        <v>427</v>
      </c>
    </row>
    <row r="62" spans="2:5" ht="14.25">
      <c r="B62" s="17" t="s">
        <v>428</v>
      </c>
      <c r="C62" s="17" t="s">
        <v>429</v>
      </c>
    </row>
    <row r="63" spans="2:5" ht="14.25">
      <c r="B63" s="17" t="s">
        <v>430</v>
      </c>
      <c r="C63" s="17" t="s">
        <v>391</v>
      </c>
    </row>
    <row r="64" spans="2:5" ht="14.25">
      <c r="B64" s="17" t="s">
        <v>73</v>
      </c>
      <c r="C64" s="18">
        <f ca="1">COUNTIF('Responses Table'!G2:G1006,"*I don't know what I can do*")</f>
        <v>16</v>
      </c>
    </row>
    <row r="65" spans="2:3" ht="14.25">
      <c r="B65" s="17" t="s">
        <v>67</v>
      </c>
      <c r="C65" s="18">
        <f ca="1">COUNTIF('Responses Table'!G2:G1006,"*I don't have the money*")</f>
        <v>30</v>
      </c>
    </row>
    <row r="66" spans="2:3" ht="14.25">
      <c r="B66" s="17" t="s">
        <v>38</v>
      </c>
      <c r="C66" s="18">
        <f ca="1">COUNTIF('Responses Table'!G2:G1006,"*I don't have the time*")</f>
        <v>31</v>
      </c>
    </row>
    <row r="67" spans="2:3" ht="14.25">
      <c r="B67" s="17" t="s">
        <v>136</v>
      </c>
      <c r="C67" s="18">
        <f ca="1">COUNTIF('Responses Table'!G2:G1006,"*I don't believe I can have an impact*")</f>
        <v>10</v>
      </c>
    </row>
    <row r="68" spans="2:3" ht="14.25">
      <c r="B68" s="17" t="s">
        <v>99</v>
      </c>
      <c r="C68" s="18">
        <f ca="1">COUNTIF('Responses Table'!G2:G1006,"*I believe it's up to those in power to lead*")</f>
        <v>18</v>
      </c>
    </row>
    <row r="69" spans="2:3" ht="14.25">
      <c r="B69" s="17" t="s">
        <v>431</v>
      </c>
      <c r="C69" s="18">
        <f ca="1">COUNTIF('Responses Table'!G2:G1006,"*I don't like thinking about climate change*")</f>
        <v>2</v>
      </c>
    </row>
    <row r="70" spans="2:3" ht="14.25">
      <c r="B70" s="17" t="s">
        <v>93</v>
      </c>
      <c r="C70" s="18">
        <f ca="1">COUNTIF('Responses Table'!G2:G1006,"*I feel stuck*")</f>
        <v>11</v>
      </c>
    </row>
    <row r="71" spans="2:3" ht="14.25">
      <c r="B71" s="17" t="s">
        <v>17</v>
      </c>
      <c r="C71" s="18">
        <f ca="1">COUNTIF('Responses Table'!G2:G1006,"*I've done as much as I can*")</f>
        <v>13</v>
      </c>
    </row>
    <row r="77" spans="2:3" ht="14.25">
      <c r="B77" s="17" t="s">
        <v>432</v>
      </c>
      <c r="C77" s="17" t="s">
        <v>433</v>
      </c>
    </row>
    <row r="78" spans="2:3" ht="14.25">
      <c r="B78" s="17" t="s">
        <v>434</v>
      </c>
      <c r="C78" s="17" t="s">
        <v>391</v>
      </c>
    </row>
    <row r="79" spans="2:3" ht="14.25">
      <c r="B79" s="17" t="s">
        <v>56</v>
      </c>
      <c r="C79" s="18">
        <f ca="1">COUNTIF('Responses Table'!H2:H1006,"*Information about what I can do*")</f>
        <v>54</v>
      </c>
    </row>
    <row r="80" spans="2:3" ht="14.25">
      <c r="B80" s="17" t="s">
        <v>435</v>
      </c>
      <c r="C80" s="18">
        <f ca="1">COUNTIF('Responses Table'!H2:H1006,"*Joining others with similar interests*")</f>
        <v>25</v>
      </c>
    </row>
    <row r="81" spans="2:3" ht="14.25">
      <c r="B81" s="17" t="s">
        <v>436</v>
      </c>
      <c r="C81" s="18">
        <f ca="1">COUNTIF('Responses Table'!H2:H1006,"*Opportunities to talk about my feelings about climate change*")</f>
        <v>12</v>
      </c>
    </row>
    <row r="82" spans="2:3" ht="14.25">
      <c r="B82" s="17" t="s">
        <v>74</v>
      </c>
      <c r="C82" s="18">
        <f ca="1">COUNTIF('Responses Table'!H2:H1006,"*Practical tasks or projects*")</f>
        <v>51</v>
      </c>
    </row>
    <row r="83" spans="2:3" ht="14.25">
      <c r="B83" s="17" t="s">
        <v>437</v>
      </c>
      <c r="C83" s="18">
        <f ca="1">COUNTIF('Responses Table'!H2:H1006,"*Sharing my skills and knowledge with others*")</f>
        <v>14</v>
      </c>
    </row>
    <row r="84" spans="2:3" ht="14.25">
      <c r="B84" s="17" t="s">
        <v>70</v>
      </c>
      <c r="C84" s="18">
        <f ca="1">COUNTIF('Responses Table'!H2:H1006,"*Setting up locally run projects or campaigns*")</f>
        <v>23</v>
      </c>
    </row>
    <row r="85" spans="2:3" ht="14.25">
      <c r="B85" s="17" t="s">
        <v>332</v>
      </c>
      <c r="C85" s="18">
        <f ca="1">COUNTIF('Responses Table'!H2:H1006,"*Attending protests*")</f>
        <v>13</v>
      </c>
    </row>
    <row r="86" spans="2:3" ht="14.25">
      <c r="B86" s="17" t="s">
        <v>77</v>
      </c>
      <c r="C86" s="18">
        <f ca="1">COUNTIF('Responses Table'!H2:H1006,"*None of the above*")</f>
        <v>17</v>
      </c>
    </row>
    <row r="89" spans="2:3" ht="14.25">
      <c r="B89" s="17" t="s">
        <v>438</v>
      </c>
      <c r="C89" s="17" t="s">
        <v>439</v>
      </c>
    </row>
    <row r="90" spans="2:3" ht="14.25">
      <c r="B90" s="17" t="s">
        <v>440</v>
      </c>
      <c r="C90" s="17" t="s">
        <v>391</v>
      </c>
    </row>
    <row r="91" spans="2:3" ht="14.25">
      <c r="B91" s="17" t="s">
        <v>96</v>
      </c>
      <c r="C91" s="18">
        <f ca="1">COUNTIF('Responses Table'!L2:L1006,"*16-24*")</f>
        <v>2</v>
      </c>
    </row>
    <row r="92" spans="2:3" ht="14.25">
      <c r="B92" s="17" t="s">
        <v>227</v>
      </c>
      <c r="C92" s="18">
        <f ca="1">COUNTIF('Responses Table'!L2:L1006,"*25-34*")</f>
        <v>1</v>
      </c>
    </row>
    <row r="93" spans="2:3" ht="14.25">
      <c r="B93" s="17" t="s">
        <v>42</v>
      </c>
      <c r="C93" s="18">
        <f ca="1">COUNTIF('Responses Table'!L2:L1006,"*35-44*")</f>
        <v>13</v>
      </c>
    </row>
    <row r="94" spans="2:3" ht="14.25">
      <c r="B94" s="17" t="s">
        <v>34</v>
      </c>
      <c r="C94" s="18">
        <f ca="1">COUNTIF('Responses Table'!L2:L1006,"*45-54*")</f>
        <v>28</v>
      </c>
    </row>
    <row r="95" spans="2:3" ht="14.25">
      <c r="B95" s="17" t="s">
        <v>58</v>
      </c>
      <c r="C95" s="18">
        <f ca="1">COUNTIF('Responses Table'!L2:L1006,"*55-64*")</f>
        <v>19</v>
      </c>
    </row>
    <row r="96" spans="2:3" ht="14.25">
      <c r="B96" s="17" t="s">
        <v>20</v>
      </c>
      <c r="C96" s="18">
        <f ca="1">COUNTIF('Responses Table'!L2:L1006,"*Over 65*")</f>
        <v>29</v>
      </c>
    </row>
  </sheetData>
  <pageMargins left="0.74803149606299213" right="0.74803149606299213" top="1.3775590551181103" bottom="1.3775590551181103" header="0.98385826771653528" footer="0.98385826771653528"/>
  <pageSetup paperSize="0" fitToWidth="0" fitToHeight="0" orientation="portrait" horizontalDpi="0" verticalDpi="0" copies="0"/>
  <headerFooter alignWithMargins="0"/>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EF6BC9A-7B2A-4CF7-B0EF-2EF4F0F7D44D}">
  <dimension ref="A1:P71"/>
  <sheetViews>
    <sheetView workbookViewId="0"/>
  </sheetViews>
  <sheetFormatPr defaultColWidth="12.140625" defaultRowHeight="15.75" customHeight="1"/>
  <cols>
    <col min="1" max="1" width="3.42578125" style="3" customWidth="1"/>
    <col min="2" max="12" width="13.42578125" style="3" customWidth="1"/>
    <col min="13" max="13" width="15.28515625" style="3" customWidth="1"/>
    <col min="14" max="14" width="19" style="3" customWidth="1"/>
    <col min="15" max="1024" width="13.42578125" style="3" customWidth="1"/>
    <col min="1025" max="1025" width="12.140625" style="3" customWidth="1"/>
    <col min="1026" max="16384" width="12.140625" style="3"/>
  </cols>
  <sheetData>
    <row r="1" spans="1:16" s="22" customFormat="1" ht="15">
      <c r="A1" s="20" t="s">
        <v>441</v>
      </c>
      <c r="B1" s="21"/>
      <c r="C1" s="21"/>
      <c r="D1" s="21"/>
      <c r="E1" s="21"/>
      <c r="F1" s="21"/>
      <c r="G1" s="21"/>
      <c r="H1" s="20"/>
      <c r="I1" s="21"/>
      <c r="J1" s="21"/>
      <c r="K1" s="21"/>
      <c r="L1" s="21"/>
      <c r="M1" s="21"/>
      <c r="N1" s="21"/>
      <c r="O1" s="21"/>
      <c r="P1" s="21"/>
    </row>
    <row r="2" spans="1:16" ht="14.25">
      <c r="I2" s="17"/>
    </row>
    <row r="3" spans="1:16" ht="14.25">
      <c r="N3" s="23" t="s">
        <v>442</v>
      </c>
      <c r="O3" s="24">
        <f ca="1">SUM('Data Formatting'!C4:C7)</f>
        <v>96</v>
      </c>
    </row>
    <row r="4" spans="1:16" ht="15">
      <c r="O4" s="25"/>
    </row>
    <row r="7" spans="1:16" ht="14.25">
      <c r="N7" s="26" t="s">
        <v>443</v>
      </c>
      <c r="O7" s="27">
        <f ca="1">AVERAGE('Responses Table'!D2:D200)</f>
        <v>4.3125</v>
      </c>
    </row>
    <row r="67" spans="7:12" ht="13.9">
      <c r="G67" s="28" t="s">
        <v>444</v>
      </c>
      <c r="H67" s="29"/>
      <c r="I67" s="29"/>
      <c r="J67" s="29"/>
      <c r="K67" s="29"/>
      <c r="L67" s="30"/>
    </row>
    <row r="68" spans="7:12" ht="13.9">
      <c r="G68" s="31" t="s">
        <v>445</v>
      </c>
      <c r="H68" s="32"/>
      <c r="I68" s="32"/>
      <c r="J68" s="32"/>
      <c r="K68" s="32"/>
      <c r="L68" s="33"/>
    </row>
    <row r="69" spans="7:12" ht="13.9">
      <c r="G69" s="31" t="s">
        <v>446</v>
      </c>
      <c r="H69" s="32"/>
      <c r="I69" s="32"/>
      <c r="J69" s="32"/>
      <c r="K69" s="32"/>
      <c r="L69" s="33"/>
    </row>
    <row r="70" spans="7:12" ht="13.9">
      <c r="G70" s="34" t="s">
        <v>447</v>
      </c>
      <c r="H70" s="35"/>
      <c r="I70" s="35"/>
      <c r="J70" s="35"/>
      <c r="K70" s="35"/>
      <c r="L70" s="36"/>
    </row>
    <row r="71" spans="7:12" ht="13.9">
      <c r="G71" s="17"/>
    </row>
  </sheetData>
  <pageMargins left="0.74803149606299213" right="0.74803149606299213" top="1.3775590551181103" bottom="1.3775590551181103" header="0.98385826771653528" footer="0.98385826771653528"/>
  <pageSetup paperSize="0" fitToWidth="0" fitToHeight="0" orientation="portrait" horizontalDpi="0" verticalDpi="0" copies="0"/>
  <headerFooter alignWithMargins="0"/>
  <drawing r:id="rId1"/>
</worksheet>
</file>

<file path=docProps/app.xml><?xml version="1.0" encoding="utf-8"?>
<Properties xmlns="http://schemas.openxmlformats.org/officeDocument/2006/extended-properties" xmlns:vt="http://schemas.openxmlformats.org/officeDocument/2006/docPropsVTypes">
  <TotalTime>11</TotalTime>
  <Application>Microsoft Excel</Application>
  <DocSecurity>0</DocSecurity>
  <ScaleCrop>false</ScaleCrop>
  <HeadingPairs>
    <vt:vector size="2" baseType="variant">
      <vt:variant>
        <vt:lpstr>Worksheets</vt:lpstr>
      </vt:variant>
      <vt:variant>
        <vt:i4>6</vt:i4>
      </vt:variant>
    </vt:vector>
  </HeadingPairs>
  <TitlesOfParts>
    <vt:vector size="6" baseType="lpstr">
      <vt:lpstr>Landing Page</vt:lpstr>
      <vt:lpstr>Online Form Responses 1</vt:lpstr>
      <vt:lpstr>Paper Form Responses 1</vt:lpstr>
      <vt:lpstr>Responses Table</vt:lpstr>
      <vt:lpstr>Data Formatting</vt:lpstr>
      <vt:lpstr>Quantitative Charts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Twyford Clerk</dc:creator>
  <cp:lastModifiedBy>Clerk - Twyford Parish Council</cp:lastModifiedBy>
  <cp:revision>2</cp:revision>
  <dcterms:created xsi:type="dcterms:W3CDTF">2026-09-14T14:56:04Z</dcterms:created>
  <dcterms:modified xsi:type="dcterms:W3CDTF">2026-09-14T15:00:12Z</dcterms:modified>
</cp:coreProperties>
</file>